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lin.marin\Desktop\OBRAS PDET-24-01-2019\DOC. PREVIOS CONVOCATORIA FCP OBRAS PDET- 24-01-2019\"/>
    </mc:Choice>
  </mc:AlternateContent>
  <workbookProtection workbookAlgorithmName="SHA-512" workbookHashValue="B6Ghb4DVMqXvT/TvD26JW2VsCIG/Ubus194FPomeg48Yqf8ZCFB3yUa2ymJrvxuBSofeJWwYJ5PgGvqKBmsXJg==" workbookSaltValue="UQZb794u1UJZRRwyNVsreQ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18" i="1" l="1"/>
  <c r="F26" i="1" l="1"/>
  <c r="B9" i="1"/>
  <c r="F12" i="1" l="1"/>
  <c r="F14" i="1" s="1"/>
  <c r="F15" i="1" s="1"/>
  <c r="C24" i="1"/>
  <c r="F19" i="1"/>
  <c r="F28" i="1" l="1"/>
  <c r="F32" i="1"/>
  <c r="F13" i="1"/>
  <c r="F21" i="1"/>
  <c r="F20" i="1"/>
  <c r="F30" i="1" l="1"/>
  <c r="C23" i="1"/>
  <c r="F22" i="1"/>
  <c r="F17" i="1" l="1"/>
  <c r="F31" i="1" s="1"/>
  <c r="F33" i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<sst xmlns="http://schemas.openxmlformats.org/spreadsheetml/2006/main" count="69" uniqueCount="66">
  <si>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</si>
  <si>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</si>
  <si>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</si>
  <si>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</si>
  <si>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</si>
  <si>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</si>
  <si>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</si>
  <si>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</si>
  <si>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</si>
  <si>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</si>
  <si>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</si>
  <si>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</si>
  <si>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</si>
  <si>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</si>
  <si>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</si>
  <si>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</si>
  <si>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</si>
  <si>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</si>
  <si>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</si>
  <si>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</si>
  <si>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</si>
  <si>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</si>
  <si>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</si>
  <si>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</si>
  <si>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</si>
  <si>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</si>
  <si>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</si>
  <si>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</si>
  <si>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</si>
  <si>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</si>
  <si>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</si>
  <si>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</si>
  <si>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</si>
  <si>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</si>
  <si>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</si>
  <si>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</si>
  <si>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</si>
  <si>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</si>
  <si>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</si>
  <si>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</si>
  <si>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 xml:space="preserve">2. Estructuración de Obras PDET  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</si>
  <si>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</si>
  <si>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</si>
  <si>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</si>
  <si>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</si>
  <si>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</si>
  <si>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</si>
  <si>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</si>
  <si>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</si>
  <si>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</si>
  <si>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</si>
  <si>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</si>
  <si>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</si>
  <si>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</si>
  <si>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</si>
  <si>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</si>
  <si>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</si>
  <si>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</si>
  <si>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</si>
  <si>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</si>
  <si>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En caso de que la organización ejecutora no pueda recibir utilidad por la ejecución del contrato, este valor podrá ser destinado a costos directos de obra o en su defecto deberá reintegrarse al componente 3.1 Ejecución de Obras.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</si>
  <si>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</si>
  <si>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</si>
  <si>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</si>
  <si>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>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</si>
  <si>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t xml:space="preserve">Total 3. Ejecución de Obras PDET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</si>
</sst>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"/>
    <numFmt numFmtId="165" formatCode="0.0%"/>
    <numFmt numFmtId="166" formatCode="_(&quot;$&quot;\ * #,##0.0_);_(&quot;$&quot;\ * \(#,##0.0\);_(&quot;$&quot;\ * &quot;-&quot;??_);_(@_)"/>
    <numFmt numFmtId="167" formatCode="_(&quot;$&quot;\ * #,##0_);_(&quot;$&quot;\ * \(#,##0\);_(&quot;$&quot;\ * &quot;-&quot;??_);_(@_)"/>
    <numFmt numFmtId="168" formatCode="_(&quot;$&quot;\ * #,##0.0_);_(&quot;$&quot;\ * \(#,##0.0\);_(&quot;$&quot;\ * &quot;-&quot;?_);_(@_)"/>
    <numFmt numFmtId="169" formatCode="0.000%"/>
    <numFmt numFmtId="170" formatCode="0.0000%"/>
    <numFmt numFmtId="171" formatCode="0.0000000000000000%"/>
    <numFmt numFmtId="172" formatCode="_(&quot;$&quot;\ * #,##0.00000_);_(&quot;$&quot;\ * \(#,##0.00000\);_(&quot;$&quot;\ * &quot;-&quot;??_);_(@_)"/>
    <numFmt numFmtId="173" formatCode="_(&quot;$&quot;\ * #,##0.000000_);_(&quot;$&quot;\ * \(#,##0.000000\);_(&quot;$&quot;\ * &quot;-&quot;??_);_(@_)"/>
    <numFmt numFmtId="174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2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5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 indent="7"/>
    </xf>
    <xf numFmtId="0" fontId="6" fillId="0" borderId="24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38" xfId="0" applyFont="1" applyBorder="1" applyAlignment="1">
      <alignment horizontal="left" vertical="center" wrapText="1" indent="3"/>
    </xf>
    <xf numFmtId="0" fontId="3" fillId="0" borderId="38" xfId="0" applyFont="1" applyBorder="1" applyAlignment="1">
      <alignment horizontal="left" vertical="center" wrapText="1" indent="7"/>
    </xf>
    <xf numFmtId="0" fontId="3" fillId="0" borderId="38" xfId="0" applyFont="1" applyBorder="1" applyAlignment="1">
      <alignment horizontal="left" vertical="center" indent="7"/>
    </xf>
    <xf numFmtId="167" fontId="1" fillId="0" borderId="17" xfId="2" applyNumberFormat="1" applyFont="1" applyBorder="1" applyAlignment="1">
      <alignment vertical="center"/>
    </xf>
    <xf numFmtId="167" fontId="1" fillId="0" borderId="27" xfId="2" applyNumberFormat="1" applyFont="1" applyBorder="1" applyAlignment="1">
      <alignment vertical="center"/>
    </xf>
    <xf numFmtId="167" fontId="1" fillId="0" borderId="37" xfId="2" applyNumberFormat="1" applyFont="1" applyBorder="1" applyAlignment="1">
      <alignment vertical="center"/>
    </xf>
    <xf numFmtId="167" fontId="1" fillId="0" borderId="39" xfId="2" applyNumberFormat="1" applyFont="1" applyBorder="1" applyAlignment="1">
      <alignment vertical="center"/>
    </xf>
    <xf numFmtId="167" fontId="0" fillId="0" borderId="20" xfId="2" applyNumberFormat="1" applyFont="1" applyBorder="1" applyAlignment="1">
      <alignment vertical="center"/>
    </xf>
    <xf numFmtId="167" fontId="0" fillId="0" borderId="22" xfId="2" applyNumberFormat="1" applyFont="1" applyBorder="1" applyAlignment="1">
      <alignment vertical="center"/>
    </xf>
    <xf numFmtId="167" fontId="0" fillId="0" borderId="32" xfId="2" applyNumberFormat="1" applyFont="1" applyBorder="1" applyAlignment="1">
      <alignment vertical="center"/>
    </xf>
    <xf numFmtId="167" fontId="0" fillId="0" borderId="27" xfId="2" applyNumberFormat="1" applyFont="1" applyBorder="1" applyAlignment="1">
      <alignment vertical="center"/>
    </xf>
    <xf numFmtId="167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7" fontId="0" fillId="3" borderId="0" xfId="0" applyNumberFormat="1" applyFill="1" applyBorder="1" applyAlignment="1">
      <alignment horizontal="right" vertical="center"/>
    </xf>
    <xf numFmtId="164" fontId="0" fillId="3" borderId="0" xfId="0" applyNumberFormat="1" applyFill="1" applyBorder="1" applyAlignment="1">
      <alignment horizontal="right" vertical="center"/>
    </xf>
    <xf numFmtId="165" fontId="0" fillId="3" borderId="0" xfId="1" applyNumberFormat="1" applyFont="1" applyFill="1" applyBorder="1" applyAlignment="1">
      <alignment horizontal="right" vertical="center"/>
    </xf>
    <xf numFmtId="4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5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68" fontId="1" fillId="3" borderId="0" xfId="1" applyNumberFormat="1" applyFont="1" applyFill="1" applyBorder="1" applyAlignment="1">
      <alignment vertical="center"/>
    </xf>
    <xf numFmtId="167" fontId="1" fillId="3" borderId="0" xfId="2" applyNumberFormat="1" applyFont="1" applyFill="1" applyBorder="1" applyAlignment="1">
      <alignment vertical="center"/>
    </xf>
    <xf numFmtId="166" fontId="1" fillId="3" borderId="0" xfId="2" applyNumberFormat="1" applyFont="1" applyFill="1" applyBorder="1"/>
    <xf numFmtId="167" fontId="1" fillId="3" borderId="0" xfId="2" applyNumberFormat="1" applyFont="1" applyFill="1" applyBorder="1"/>
    <xf numFmtId="166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6" fontId="0" fillId="3" borderId="0" xfId="2" applyNumberFormat="1" applyFont="1" applyFill="1" applyBorder="1"/>
    <xf numFmtId="166" fontId="0" fillId="3" borderId="0" xfId="2" applyNumberFormat="1" applyFont="1" applyFill="1" applyBorder="1" applyAlignment="1">
      <alignment vertical="center"/>
    </xf>
    <xf numFmtId="167" fontId="0" fillId="3" borderId="0" xfId="2" applyNumberFormat="1" applyFont="1" applyFill="1" applyBorder="1"/>
    <xf numFmtId="167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7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7" fontId="0" fillId="0" borderId="0" xfId="0" applyNumberFormat="1"/>
    <xf numFmtId="10" fontId="9" fillId="3" borderId="24" xfId="0" applyNumberFormat="1" applyFont="1" applyFill="1" applyBorder="1" applyAlignment="1">
      <alignment horizontal="center" vertical="center"/>
    </xf>
    <xf numFmtId="169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43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7" fontId="0" fillId="4" borderId="39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0" fontId="0" fillId="0" borderId="0" xfId="1" applyNumberFormat="1" applyFont="1"/>
    <xf numFmtId="44" fontId="0" fillId="0" borderId="0" xfId="2" applyFont="1"/>
    <xf numFmtId="170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44" fontId="0" fillId="0" borderId="0" xfId="0" applyNumberFormat="1"/>
    <xf numFmtId="167" fontId="4" fillId="0" borderId="0" xfId="0" applyNumberFormat="1" applyFont="1" applyAlignment="1">
      <alignment vertical="center"/>
    </xf>
    <xf numFmtId="170" fontId="4" fillId="0" borderId="0" xfId="1" applyNumberFormat="1" applyFont="1" applyAlignment="1">
      <alignment vertical="center"/>
    </xf>
    <xf numFmtId="171" fontId="3" fillId="0" borderId="0" xfId="0" applyNumberFormat="1" applyFont="1" applyAlignment="1">
      <alignment vertical="center"/>
    </xf>
    <xf numFmtId="44" fontId="5" fillId="0" borderId="0" xfId="2" applyFont="1" applyAlignment="1">
      <alignment vertical="center"/>
    </xf>
    <xf numFmtId="173" fontId="0" fillId="0" borderId="0" xfId="0" applyNumberFormat="1"/>
    <xf numFmtId="0" fontId="7" fillId="3" borderId="49" xfId="0" applyFont="1" applyFill="1" applyBorder="1" applyAlignment="1">
      <alignment horizontal="left" vertical="center"/>
    </xf>
    <xf numFmtId="10" fontId="9" fillId="3" borderId="48" xfId="0" applyNumberFormat="1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 wrapText="1"/>
    </xf>
    <xf numFmtId="10" fontId="9" fillId="0" borderId="51" xfId="1" applyNumberFormat="1" applyFont="1" applyBorder="1" applyAlignment="1" applyProtection="1">
      <alignment horizontal="center" vertical="center"/>
    </xf>
    <xf numFmtId="10" fontId="9" fillId="0" borderId="50" xfId="0" applyNumberFormat="1" applyFont="1" applyFill="1" applyBorder="1" applyAlignment="1" applyProtection="1">
      <alignment horizontal="center" vertical="center"/>
    </xf>
    <xf numFmtId="10" fontId="9" fillId="3" borderId="50" xfId="0" applyNumberFormat="1" applyFont="1" applyFill="1" applyBorder="1" applyAlignment="1">
      <alignment horizontal="center" vertical="center"/>
    </xf>
    <xf numFmtId="172" fontId="0" fillId="0" borderId="0" xfId="2" applyNumberFormat="1" applyFont="1"/>
    <xf numFmtId="174" fontId="0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7" fontId="0" fillId="0" borderId="2" xfId="2" applyNumberFormat="1" applyFont="1" applyBorder="1" applyAlignment="1">
      <alignment vertical="center"/>
    </xf>
    <xf numFmtId="167" fontId="0" fillId="0" borderId="2" xfId="2" applyNumberFormat="1" applyFont="1" applyBorder="1"/>
    <xf numFmtId="0" fontId="0" fillId="0" borderId="0" xfId="0" applyFill="1" applyBorder="1"/>
    <xf numFmtId="166" fontId="1" fillId="0" borderId="0" xfId="2" applyNumberFormat="1" applyFont="1" applyFill="1" applyBorder="1"/>
    <xf numFmtId="44" fontId="0" fillId="0" borderId="0" xfId="0" applyNumberFormat="1" applyFill="1"/>
    <xf numFmtId="44" fontId="0" fillId="0" borderId="0" xfId="2" applyFont="1" applyFill="1"/>
    <xf numFmtId="0" fontId="0" fillId="0" borderId="0" xfId="0" applyFill="1"/>
    <xf numFmtId="44" fontId="0" fillId="0" borderId="0" xfId="0" applyNumberFormat="1" applyFill="1" applyBorder="1"/>
    <xf numFmtId="0" fontId="7" fillId="3" borderId="52" xfId="0" applyFont="1" applyFill="1" applyBorder="1" applyAlignment="1">
      <alignment horizontal="left" vertical="center"/>
    </xf>
    <xf numFmtId="9" fontId="0" fillId="0" borderId="21" xfId="0" applyNumberFormat="1" applyBorder="1" applyAlignment="1">
      <alignment vertical="center"/>
    </xf>
    <xf numFmtId="9" fontId="0" fillId="0" borderId="23" xfId="0" applyNumberFormat="1" applyBorder="1" applyAlignment="1">
      <alignment vertical="center"/>
    </xf>
    <xf numFmtId="10" fontId="9" fillId="3" borderId="53" xfId="0" applyNumberFormat="1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left" vertical="center"/>
    </xf>
    <xf numFmtId="0" fontId="4" fillId="0" borderId="55" xfId="0" applyFont="1" applyBorder="1" applyAlignment="1">
      <alignment horizontal="left" vertical="center" wrapText="1" indent="3"/>
    </xf>
    <xf numFmtId="167" fontId="1" fillId="0" borderId="56" xfId="2" applyNumberFormat="1" applyFont="1" applyBorder="1" applyAlignment="1">
      <alignment vertical="center"/>
    </xf>
    <xf numFmtId="9" fontId="0" fillId="0" borderId="57" xfId="0" applyNumberFormat="1" applyBorder="1" applyAlignment="1">
      <alignment vertical="center"/>
    </xf>
    <xf numFmtId="0" fontId="6" fillId="0" borderId="59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9" fontId="0" fillId="0" borderId="18" xfId="0" applyNumberForma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0" fontId="0" fillId="0" borderId="4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29" xfId="1" applyNumberFormat="1" applyFont="1" applyBorder="1" applyAlignment="1">
      <alignment horizontal="center" vertical="center" wrapText="1"/>
    </xf>
    <xf numFmtId="10" fontId="0" fillId="0" borderId="30" xfId="1" applyNumberFormat="1" applyFont="1" applyBorder="1" applyAlignment="1">
      <alignment horizontal="center" vertical="center"/>
    </xf>
    <xf numFmtId="10" fontId="0" fillId="0" borderId="28" xfId="1" applyNumberFormat="1" applyFont="1" applyBorder="1" applyAlignment="1">
      <alignment horizontal="center" vertical="center"/>
    </xf>
    <xf numFmtId="10" fontId="0" fillId="0" borderId="31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34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9" fontId="7" fillId="3" borderId="58" xfId="0" applyNumberFormat="1" applyFont="1" applyFill="1" applyBorder="1" applyAlignment="1">
      <alignment horizontal="center" vertical="center" wrapText="1"/>
    </xf>
    <xf numFmtId="9" fontId="7" fillId="3" borderId="1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9" fontId="7" fillId="3" borderId="38" xfId="0" applyNumberFormat="1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167" fontId="1" fillId="0" borderId="60" xfId="2" applyNumberFormat="1" applyFont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3" borderId="52" xfId="0" applyFont="1" applyFill="1" applyBorder="1" applyAlignment="1">
      <alignment vertical="center" wrapText="1"/>
    </xf>
    <xf numFmtId="0" fontId="3" fillId="0" borderId="63" xfId="0" applyFont="1" applyBorder="1" applyAlignment="1">
      <alignment horizontal="left" vertical="center" wrapText="1" indent="7"/>
    </xf>
    <xf numFmtId="167" fontId="1" fillId="4" borderId="64" xfId="2" applyNumberFormat="1" applyFont="1" applyFill="1" applyBorder="1" applyAlignment="1" applyProtection="1">
      <alignment vertical="center"/>
      <protection locked="0"/>
    </xf>
    <xf numFmtId="10" fontId="9" fillId="3" borderId="0" xfId="0" applyNumberFormat="1" applyFont="1" applyFill="1" applyBorder="1" applyAlignment="1" applyProtection="1">
      <alignment horizontal="center" vertical="center"/>
    </xf>
    <xf numFmtId="167" fontId="1" fillId="3" borderId="0" xfId="2" applyNumberFormat="1" applyFont="1" applyFill="1" applyBorder="1" applyAlignment="1" applyProtection="1">
      <alignment vertical="center"/>
      <protection locked="0"/>
    </xf>
    <xf numFmtId="10" fontId="9" fillId="3" borderId="61" xfId="0" applyNumberFormat="1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left" vertical="center"/>
    </xf>
    <xf numFmtId="167" fontId="1" fillId="0" borderId="65" xfId="2" applyNumberFormat="1" applyFont="1" applyBorder="1" applyAlignment="1">
      <alignment vertical="center"/>
    </xf>
    <xf numFmtId="10" fontId="9" fillId="3" borderId="66" xfId="0" applyNumberFormat="1" applyFont="1" applyFill="1" applyBorder="1" applyAlignment="1">
      <alignment horizontal="center" vertical="center" wrapText="1"/>
    </xf>
    <xf numFmtId="9" fontId="7" fillId="3" borderId="16" xfId="0" applyNumberFormat="1" applyFont="1" applyFill="1" applyBorder="1" applyAlignment="1">
      <alignment vertical="center" wrapText="1"/>
    </xf>
    <xf numFmtId="0" fontId="6" fillId="0" borderId="59" xfId="0" applyFont="1" applyBorder="1" applyAlignment="1">
      <alignment vertic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F23" sqref="F2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21" t="s">
        <v>15</v>
      </c>
      <c r="C2" s="121"/>
      <c r="D2" s="121"/>
      <c r="E2" s="121"/>
      <c r="F2" s="121"/>
      <c r="G2" s="30"/>
      <c r="I2" s="68"/>
    </row>
    <row r="3" spans="1:11" s="7" customFormat="1" ht="15" customHeight="1" x14ac:dyDescent="0.25">
      <c r="A3" s="30"/>
      <c r="B3" s="121"/>
      <c r="C3" s="121"/>
      <c r="D3" s="121"/>
      <c r="E3" s="121"/>
      <c r="F3" s="121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37" t="s">
        <v>0</v>
      </c>
      <c r="C5" s="138"/>
      <c r="D5" s="138"/>
      <c r="E5" s="139"/>
      <c r="F5" s="9">
        <f>VLOOKUP(B2,Listas!A4:B16,2,0)</f>
        <v>3</v>
      </c>
      <c r="G5" s="31"/>
    </row>
    <row r="6" spans="1:11" s="7" customFormat="1" hidden="1" x14ac:dyDescent="0.25">
      <c r="A6" s="30"/>
      <c r="B6" s="140" t="s">
        <v>38</v>
      </c>
      <c r="C6" s="141"/>
      <c r="D6" s="141"/>
      <c r="E6" s="142"/>
      <c r="F6" s="27">
        <v>987964792.52739358</v>
      </c>
      <c r="G6" s="32"/>
    </row>
    <row r="7" spans="1:11" s="7" customFormat="1" hidden="1" x14ac:dyDescent="0.25">
      <c r="A7" s="30"/>
      <c r="B7" s="143" t="s">
        <v>39</v>
      </c>
      <c r="C7" s="144"/>
      <c r="D7" s="144"/>
      <c r="E7" s="145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31" t="str">
        <f>CONCATENATE(I2," - ","Subregión:"," ",B2)</f>
        <v xml:space="preserve"> - Subregión: ARAUCA</v>
      </c>
      <c r="C9" s="131"/>
      <c r="D9" s="131"/>
      <c r="E9" s="131"/>
      <c r="F9" s="131"/>
      <c r="G9" s="35"/>
    </row>
    <row r="10" spans="1:11" s="7" customFormat="1" hidden="1" x14ac:dyDescent="0.25">
      <c r="A10" s="30"/>
      <c r="B10" s="131"/>
      <c r="C10" s="131"/>
      <c r="D10" s="131"/>
      <c r="E10" s="131"/>
      <c r="F10" s="131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43.5" hidden="1" customHeight="1" thickBot="1" x14ac:dyDescent="0.3">
      <c r="A12" s="30"/>
      <c r="B12" s="156"/>
      <c r="C12" s="160"/>
      <c r="D12" s="160"/>
      <c r="E12" s="157" t="s">
        <v>52</v>
      </c>
      <c r="F12" s="158">
        <f>ROUND($F$18+(F18*$C$13),0)</f>
        <v>3300000000</v>
      </c>
      <c r="G12" s="37"/>
      <c r="H12" s="58"/>
    </row>
    <row r="13" spans="1:11" ht="22.5" customHeight="1" thickBot="1" x14ac:dyDescent="0.3">
      <c r="A13" s="30"/>
      <c r="B13" s="108" t="s">
        <v>1</v>
      </c>
      <c r="C13" s="169">
        <v>0.1134</v>
      </c>
      <c r="D13" s="170" t="s">
        <v>31</v>
      </c>
      <c r="E13" s="171" t="s">
        <v>40</v>
      </c>
      <c r="F13" s="19">
        <f>ROUND(F14+F15,0)</f>
        <v>336105622</v>
      </c>
      <c r="G13" s="37"/>
      <c r="H13" s="89"/>
      <c r="I13" s="72"/>
    </row>
    <row r="14" spans="1:11" ht="18.75" hidden="1" customHeight="1" x14ac:dyDescent="0.25">
      <c r="A14" s="30"/>
      <c r="B14" s="102"/>
      <c r="C14" s="166">
        <v>0.1134</v>
      </c>
      <c r="D14" s="167" t="s">
        <v>41</v>
      </c>
      <c r="E14" s="106" t="s">
        <v>13</v>
      </c>
      <c r="F14" s="168">
        <f>ROUND((F12-F18)/(1+$C$15),0)</f>
        <v>279203873</v>
      </c>
      <c r="G14" s="38"/>
      <c r="H14" s="114"/>
      <c r="I14" s="57"/>
    </row>
    <row r="15" spans="1:11" ht="23.25" hidden="1" customHeight="1" thickBot="1" x14ac:dyDescent="0.3">
      <c r="A15" s="30"/>
      <c r="B15" s="103"/>
      <c r="C15" s="59">
        <v>0.20380000000000001</v>
      </c>
      <c r="D15" s="10" t="s">
        <v>42</v>
      </c>
      <c r="E15" s="11" t="s">
        <v>29</v>
      </c>
      <c r="F15" s="20">
        <f>ROUND((F14*$C$15),0)</f>
        <v>56901749</v>
      </c>
      <c r="H15" s="74"/>
      <c r="I15" s="58"/>
    </row>
    <row r="16" spans="1:11" ht="22.5" customHeight="1" thickBot="1" x14ac:dyDescent="0.3">
      <c r="A16" s="30"/>
      <c r="B16" s="110"/>
      <c r="C16" s="164"/>
      <c r="D16" s="159"/>
      <c r="E16" s="113"/>
      <c r="F16" s="165"/>
      <c r="G16" s="43"/>
      <c r="H16" s="55"/>
      <c r="I16" s="77"/>
      <c r="J16" s="58"/>
    </row>
    <row r="17" spans="1:11" s="3" customFormat="1" ht="22.5" customHeight="1" x14ac:dyDescent="0.25">
      <c r="A17" s="52"/>
      <c r="B17" s="115" t="s">
        <v>2</v>
      </c>
      <c r="C17" s="133" t="s">
        <v>35</v>
      </c>
      <c r="D17" s="133"/>
      <c r="E17" s="13" t="s">
        <v>43</v>
      </c>
      <c r="F17" s="21">
        <f>ROUND(F18+F22,0)</f>
        <v>2963894378</v>
      </c>
      <c r="G17" s="39"/>
      <c r="H17" s="89"/>
      <c r="I17" s="80"/>
    </row>
    <row r="18" spans="1:11" s="5" customFormat="1" ht="21" x14ac:dyDescent="0.25">
      <c r="A18" s="53"/>
      <c r="B18" s="116"/>
      <c r="C18" s="132" t="s">
        <v>51</v>
      </c>
      <c r="D18" s="132"/>
      <c r="E18" s="16" t="s">
        <v>30</v>
      </c>
      <c r="F18" s="22">
        <f>ROUND($F$6*$F$5,0)</f>
        <v>2963894378</v>
      </c>
      <c r="G18" s="40"/>
      <c r="H18" s="73"/>
    </row>
    <row r="19" spans="1:11" s="5" customFormat="1" ht="22.5" hidden="1" customHeight="1" x14ac:dyDescent="0.25">
      <c r="A19" s="53"/>
      <c r="B19" s="116"/>
      <c r="C19" s="134" t="s">
        <v>5</v>
      </c>
      <c r="D19" s="134"/>
      <c r="E19" s="18" t="s">
        <v>10</v>
      </c>
      <c r="F19" s="22">
        <f>ROUND(F18/(1+$C$20+$C$21),0)</f>
        <v>2357911200</v>
      </c>
      <c r="G19" s="41"/>
      <c r="H19" s="90"/>
    </row>
    <row r="20" spans="1:11" s="4" customFormat="1" ht="22.5" hidden="1" customHeight="1" x14ac:dyDescent="0.25">
      <c r="A20" s="54"/>
      <c r="B20" s="116"/>
      <c r="C20" s="84">
        <v>0.21</v>
      </c>
      <c r="D20" s="83" t="s">
        <v>6</v>
      </c>
      <c r="E20" s="18" t="s">
        <v>4</v>
      </c>
      <c r="F20" s="22">
        <f>ROUND(F19*$C$20,0)</f>
        <v>495161352</v>
      </c>
      <c r="G20" s="41"/>
      <c r="I20" s="61"/>
    </row>
    <row r="21" spans="1:11" s="5" customFormat="1" ht="21" hidden="1" customHeight="1" x14ac:dyDescent="0.25">
      <c r="A21" s="53"/>
      <c r="B21" s="116"/>
      <c r="C21" s="84">
        <v>4.7E-2</v>
      </c>
      <c r="D21" s="83" t="s">
        <v>6</v>
      </c>
      <c r="E21" s="18" t="s">
        <v>8</v>
      </c>
      <c r="F21" s="22">
        <f>ROUND(F19*$C$21,0)</f>
        <v>110821826</v>
      </c>
      <c r="G21" s="41"/>
      <c r="H21" s="91"/>
      <c r="I21" s="81"/>
    </row>
    <row r="22" spans="1:11" s="4" customFormat="1" ht="22.5" customHeight="1" x14ac:dyDescent="0.25">
      <c r="A22" s="54"/>
      <c r="B22" s="116"/>
      <c r="C22" s="146" t="s">
        <v>44</v>
      </c>
      <c r="D22" s="146"/>
      <c r="E22" s="16" t="s">
        <v>45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16"/>
      <c r="C23" s="86">
        <f>ROUNDUP(F23/F18,4)</f>
        <v>0</v>
      </c>
      <c r="D23" s="85" t="s">
        <v>36</v>
      </c>
      <c r="E23" s="17" t="s">
        <v>46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17"/>
      <c r="C24" s="87">
        <f>ROUNDUP(F24/F18,4)</f>
        <v>0</v>
      </c>
      <c r="D24" s="161" t="s">
        <v>36</v>
      </c>
      <c r="E24" s="162" t="s">
        <v>47</v>
      </c>
      <c r="F24" s="163"/>
      <c r="G24" s="43"/>
      <c r="H24" s="58"/>
      <c r="I24" s="77"/>
      <c r="J24" s="58"/>
    </row>
    <row r="25" spans="1:11" ht="22.5" customHeight="1" thickBot="1" x14ac:dyDescent="0.3">
      <c r="A25" s="30"/>
      <c r="B25" s="110"/>
      <c r="C25" s="164"/>
      <c r="D25" s="159"/>
      <c r="E25" s="113"/>
      <c r="F25" s="165"/>
      <c r="G25" s="43"/>
      <c r="H25" s="55"/>
      <c r="I25" s="77"/>
      <c r="J25" s="58"/>
    </row>
    <row r="26" spans="1:11" ht="22.5" customHeight="1" thickBot="1" x14ac:dyDescent="0.3">
      <c r="A26" s="30"/>
      <c r="B26" s="108" t="s">
        <v>3</v>
      </c>
      <c r="C26" s="135" t="s">
        <v>33</v>
      </c>
      <c r="D26" s="136"/>
      <c r="E26" s="109" t="s">
        <v>9</v>
      </c>
      <c r="F26" s="19">
        <f>ROUND(F27,0)</f>
        <v>236830601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48</v>
      </c>
      <c r="E27" s="106" t="s">
        <v>12</v>
      </c>
      <c r="F27" s="107">
        <f>ROUND((((VLOOKUP(B2,Listas!A4:C16,3,0)))),0)</f>
        <v>236830601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49</v>
      </c>
      <c r="E28" s="11" t="s">
        <v>32</v>
      </c>
      <c r="F28" s="20">
        <f>ROUND(F27-(F27/(1+C28)),0)</f>
        <v>40094764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22" t="s">
        <v>7</v>
      </c>
      <c r="C30" s="123"/>
      <c r="D30" s="124"/>
      <c r="E30" s="14" t="s">
        <v>50</v>
      </c>
      <c r="F30" s="23">
        <f>ROUND(F13,0)</f>
        <v>336105622</v>
      </c>
      <c r="G30" s="44"/>
      <c r="H30" s="78"/>
      <c r="I30" s="79"/>
    </row>
    <row r="31" spans="1:11" s="4" customFormat="1" ht="18.75" x14ac:dyDescent="0.25">
      <c r="A31" s="54"/>
      <c r="B31" s="125"/>
      <c r="C31" s="126"/>
      <c r="D31" s="127"/>
      <c r="E31" s="92" t="s">
        <v>65</v>
      </c>
      <c r="F31" s="24">
        <f>ROUND(F17,0)</f>
        <v>2963894378</v>
      </c>
      <c r="G31" s="45"/>
      <c r="H31" s="60"/>
    </row>
    <row r="32" spans="1:11" s="4" customFormat="1" ht="18.75" x14ac:dyDescent="0.25">
      <c r="A32" s="54"/>
      <c r="B32" s="125"/>
      <c r="C32" s="126"/>
      <c r="D32" s="127"/>
      <c r="E32" s="15" t="s">
        <v>34</v>
      </c>
      <c r="F32" s="25">
        <f>ROUND(F26,0)</f>
        <v>236830601</v>
      </c>
      <c r="G32" s="44"/>
    </row>
    <row r="33" spans="1:9" s="4" customFormat="1" ht="22.5" customHeight="1" thickBot="1" x14ac:dyDescent="0.3">
      <c r="A33" s="54"/>
      <c r="B33" s="128"/>
      <c r="C33" s="129"/>
      <c r="D33" s="130"/>
      <c r="E33" s="12" t="s">
        <v>11</v>
      </c>
      <c r="F33" s="26">
        <f>ROUND(SUM(F30:F32),0)</f>
        <v>3536830601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18" t="s">
        <v>64</v>
      </c>
      <c r="C35" s="119"/>
      <c r="D35" s="119"/>
      <c r="E35" s="119"/>
      <c r="F35" s="120"/>
      <c r="G35" s="46"/>
    </row>
    <row r="36" spans="1:9" ht="21" customHeight="1" x14ac:dyDescent="0.25">
      <c r="A36" s="30"/>
      <c r="B36" s="118" t="s">
        <v>53</v>
      </c>
      <c r="C36" s="119"/>
      <c r="D36" s="119"/>
      <c r="E36" s="119"/>
      <c r="F36" s="120"/>
      <c r="G36" s="46"/>
    </row>
    <row r="37" spans="1:9" ht="51.75" customHeight="1" x14ac:dyDescent="0.25">
      <c r="A37" s="30"/>
      <c r="B37" s="147" t="s">
        <v>54</v>
      </c>
      <c r="C37" s="148"/>
      <c r="D37" s="148"/>
      <c r="E37" s="148"/>
      <c r="F37" s="149"/>
      <c r="G37" s="46"/>
    </row>
    <row r="38" spans="1:9" ht="96" customHeight="1" x14ac:dyDescent="0.25">
      <c r="A38" s="30"/>
      <c r="B38" s="147" t="s">
        <v>55</v>
      </c>
      <c r="C38" s="148"/>
      <c r="D38" s="148"/>
      <c r="E38" s="148"/>
      <c r="F38" s="149"/>
      <c r="G38" s="46"/>
    </row>
    <row r="39" spans="1:9" ht="36" customHeight="1" x14ac:dyDescent="0.25">
      <c r="A39" s="30"/>
      <c r="B39" s="147" t="s">
        <v>56</v>
      </c>
      <c r="C39" s="148"/>
      <c r="D39" s="148"/>
      <c r="E39" s="148"/>
      <c r="F39" s="149"/>
      <c r="G39" s="46"/>
    </row>
    <row r="40" spans="1:9" ht="36.75" customHeight="1" x14ac:dyDescent="0.25">
      <c r="A40" s="30"/>
      <c r="B40" s="147" t="s">
        <v>57</v>
      </c>
      <c r="C40" s="148"/>
      <c r="D40" s="148"/>
      <c r="E40" s="148"/>
      <c r="F40" s="149"/>
      <c r="G40" s="47"/>
    </row>
    <row r="41" spans="1:9" ht="51" customHeight="1" x14ac:dyDescent="0.25">
      <c r="A41" s="30"/>
      <c r="B41" s="147" t="s">
        <v>58</v>
      </c>
      <c r="C41" s="148"/>
      <c r="D41" s="148"/>
      <c r="E41" s="148"/>
      <c r="F41" s="149"/>
      <c r="G41" s="49"/>
    </row>
    <row r="42" spans="1:9" ht="51" customHeight="1" x14ac:dyDescent="0.25">
      <c r="A42" s="30"/>
      <c r="B42" s="147" t="s">
        <v>59</v>
      </c>
      <c r="C42" s="148"/>
      <c r="D42" s="148"/>
      <c r="E42" s="148"/>
      <c r="F42" s="149"/>
      <c r="G42" s="48"/>
    </row>
    <row r="43" spans="1:9" ht="66" customHeight="1" x14ac:dyDescent="0.25">
      <c r="A43" s="30"/>
      <c r="B43" s="147" t="s">
        <v>60</v>
      </c>
      <c r="C43" s="148"/>
      <c r="D43" s="148"/>
      <c r="E43" s="148"/>
      <c r="F43" s="149"/>
      <c r="G43" s="49"/>
    </row>
    <row r="44" spans="1:9" ht="36" customHeight="1" x14ac:dyDescent="0.25">
      <c r="A44" s="30"/>
      <c r="B44" s="147" t="s">
        <v>61</v>
      </c>
      <c r="C44" s="148"/>
      <c r="D44" s="148"/>
      <c r="E44" s="148"/>
      <c r="F44" s="149"/>
    </row>
    <row r="45" spans="1:9" ht="51" customHeight="1" x14ac:dyDescent="0.25">
      <c r="A45" s="30"/>
      <c r="B45" s="147" t="s">
        <v>62</v>
      </c>
      <c r="C45" s="148"/>
      <c r="D45" s="148"/>
      <c r="E45" s="148"/>
      <c r="F45" s="149"/>
    </row>
    <row r="46" spans="1:9" ht="36.75" customHeight="1" thickBot="1" x14ac:dyDescent="0.3">
      <c r="A46" s="30"/>
      <c r="B46" s="151" t="s">
        <v>63</v>
      </c>
      <c r="C46" s="152"/>
      <c r="D46" s="152"/>
      <c r="E46" s="152"/>
      <c r="F46" s="153"/>
      <c r="G46" s="46"/>
    </row>
    <row r="47" spans="1:9" ht="15" customHeight="1" x14ac:dyDescent="0.25">
      <c r="A47" s="30"/>
      <c r="B47" s="150"/>
      <c r="C47" s="150"/>
      <c r="D47" s="150"/>
      <c r="E47" s="150"/>
      <c r="F47" s="150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tKgDCd6VfLrMCeOSzzGu44R4t0E+JDPwI6ThB9pbOebZkSNg1DFQHHdmn60AMIGgipbv8h5safnI64x3d213kg==" saltValue="PBPlvNdpz0GIs0regxAVCw==" spinCount="100000" sheet="1" objects="1" scenarios="1" selectLockedCells="1"/>
  <mergeCells count="26"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C22:D22"/>
    <mergeCell ref="C12:D12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54" t="s">
        <v>27</v>
      </c>
      <c r="B2" s="155" t="s">
        <v>28</v>
      </c>
      <c r="C2" s="154" t="s">
        <v>37</v>
      </c>
    </row>
    <row r="3" spans="1:3" x14ac:dyDescent="0.25">
      <c r="A3" s="154"/>
      <c r="B3" s="155"/>
      <c r="C3" s="154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Marylin Marin</cp:lastModifiedBy>
  <cp:lastPrinted>2019-01-24T22:28:45Z</cp:lastPrinted>
  <dcterms:created xsi:type="dcterms:W3CDTF">2018-03-01T15:55:09Z</dcterms:created>
  <dcterms:modified xsi:type="dcterms:W3CDTF">2019-02-06T22:03:35Z</dcterms:modified>
</cp:coreProperties>
</file>