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e_wgarcia\Downloads\"/>
    </mc:Choice>
  </mc:AlternateContent>
  <bookViews>
    <workbookView xWindow="0" yWindow="0" windowWidth="20490" windowHeight="7650" activeTab="1"/>
  </bookViews>
  <sheets>
    <sheet name="RESUMEN" sheetId="13" r:id="rId1"/>
    <sheet name="VR-PROP" sheetId="15" r:id="rId2"/>
    <sheet name="FORMULA" sheetId="107" r:id="rId3"/>
    <sheet name="ELEGIBILIDAD" sheetId="10" r:id="rId4"/>
    <sheet name="Listas" sheetId="106" state="veryHidden" r:id="rId5"/>
  </sheets>
  <definedNames>
    <definedName name="_xlnm._FilterDatabase" localSheetId="1" hidden="1">'VR-PROP'!$I$99:$K$103</definedName>
    <definedName name="_xlnm.Print_Area" localSheetId="3">ELEGIBILIDAD!$A$1:$T$23</definedName>
    <definedName name="_xlnm.Print_Area" localSheetId="0">RESUMEN!$B$1:$I$26</definedName>
    <definedName name="_xlnm.Print_Area" localSheetId="1">'VR-PROP'!$B$1:$K$103</definedName>
    <definedName name="DEPENDENCIAS">Listas!$B$2:$B$16</definedName>
    <definedName name="METEVA">Listas!$D$2:$D$5</definedName>
    <definedName name="RESULTADO">Listas!$C$2:$C$4</definedName>
    <definedName name="_xlnm.Print_Titles" localSheetId="3">ELEGIBILIDAD!$1:$15</definedName>
    <definedName name="_xlnm.Print_Titles" localSheetId="2">FORMULA!$1:$11</definedName>
    <definedName name="_xlnm.Print_Titles" localSheetId="1">'VR-PROP'!$B:$H</definedName>
  </definedNames>
  <calcPr calcId="162913"/>
</workbook>
</file>

<file path=xl/calcChain.xml><?xml version="1.0" encoding="utf-8"?>
<calcChain xmlns="http://schemas.openxmlformats.org/spreadsheetml/2006/main">
  <c r="W51" i="15" l="1"/>
  <c r="W48" i="15"/>
  <c r="V48" i="15" l="1"/>
  <c r="J34" i="15" l="1"/>
  <c r="AC96" i="15" l="1"/>
  <c r="Z96" i="15"/>
  <c r="W96" i="15"/>
  <c r="T96" i="15"/>
  <c r="Q96" i="15"/>
  <c r="N96" i="15"/>
  <c r="AC95" i="15"/>
  <c r="Z95" i="15"/>
  <c r="W95" i="15"/>
  <c r="T95" i="15"/>
  <c r="Q95" i="15"/>
  <c r="N95" i="15"/>
  <c r="AA91" i="15"/>
  <c r="X91" i="15"/>
  <c r="U91" i="15"/>
  <c r="R91" i="15"/>
  <c r="O91" i="15"/>
  <c r="L91" i="15"/>
  <c r="AC86" i="15"/>
  <c r="AB86" i="15"/>
  <c r="Z86" i="15"/>
  <c r="Y86" i="15"/>
  <c r="W86" i="15"/>
  <c r="V86" i="15"/>
  <c r="T86" i="15"/>
  <c r="S86" i="15"/>
  <c r="Q86" i="15"/>
  <c r="P86" i="15"/>
  <c r="N86" i="15"/>
  <c r="M86" i="15"/>
  <c r="AC85" i="15"/>
  <c r="AB85" i="15"/>
  <c r="Z85" i="15"/>
  <c r="Y85" i="15"/>
  <c r="W85" i="15"/>
  <c r="V85" i="15"/>
  <c r="T85" i="15"/>
  <c r="S85" i="15"/>
  <c r="Q85" i="15"/>
  <c r="P85" i="15"/>
  <c r="N85" i="15"/>
  <c r="M85" i="15"/>
  <c r="AC84" i="15"/>
  <c r="AB84" i="15"/>
  <c r="Z84" i="15"/>
  <c r="Y84" i="15"/>
  <c r="W84" i="15"/>
  <c r="V84" i="15"/>
  <c r="T84" i="15"/>
  <c r="S84" i="15"/>
  <c r="Q84" i="15"/>
  <c r="P84" i="15"/>
  <c r="N84" i="15"/>
  <c r="M84" i="15"/>
  <c r="AC83" i="15"/>
  <c r="AB83" i="15"/>
  <c r="Z83" i="15"/>
  <c r="Y83" i="15"/>
  <c r="W83" i="15"/>
  <c r="V83" i="15"/>
  <c r="T83" i="15"/>
  <c r="S83" i="15"/>
  <c r="S82" i="15" s="1"/>
  <c r="Q83" i="15"/>
  <c r="P83" i="15"/>
  <c r="N83" i="15"/>
  <c r="M83" i="15"/>
  <c r="M82" i="15" s="1"/>
  <c r="Y82" i="15"/>
  <c r="AC81" i="15"/>
  <c r="AB81" i="15"/>
  <c r="Z81" i="15"/>
  <c r="Y81" i="15"/>
  <c r="W81" i="15"/>
  <c r="V81" i="15"/>
  <c r="T81" i="15"/>
  <c r="S81" i="15"/>
  <c r="Q81" i="15"/>
  <c r="P81" i="15"/>
  <c r="N81" i="15"/>
  <c r="M81" i="15"/>
  <c r="AC80" i="15"/>
  <c r="AB80" i="15"/>
  <c r="Z80" i="15"/>
  <c r="Y80" i="15"/>
  <c r="Y79" i="15" s="1"/>
  <c r="W80" i="15"/>
  <c r="V80" i="15"/>
  <c r="T80" i="15"/>
  <c r="S80" i="15"/>
  <c r="Q80" i="15"/>
  <c r="P80" i="15"/>
  <c r="N80" i="15"/>
  <c r="M80" i="15"/>
  <c r="AC78" i="15"/>
  <c r="AB78" i="15"/>
  <c r="Z78" i="15"/>
  <c r="Y78" i="15"/>
  <c r="W78" i="15"/>
  <c r="V78" i="15"/>
  <c r="T78" i="15"/>
  <c r="S78" i="15"/>
  <c r="Q78" i="15"/>
  <c r="P78" i="15"/>
  <c r="N78" i="15"/>
  <c r="M78" i="15"/>
  <c r="AC77" i="15"/>
  <c r="AB77" i="15"/>
  <c r="Z77" i="15"/>
  <c r="Y77" i="15"/>
  <c r="W77" i="15"/>
  <c r="V77" i="15"/>
  <c r="T77" i="15"/>
  <c r="S77" i="15"/>
  <c r="Q77" i="15"/>
  <c r="P77" i="15"/>
  <c r="N77" i="15"/>
  <c r="M77" i="15"/>
  <c r="AC76" i="15"/>
  <c r="AB76" i="15"/>
  <c r="Z76" i="15"/>
  <c r="Y76" i="15"/>
  <c r="W76" i="15"/>
  <c r="V76" i="15"/>
  <c r="T76" i="15"/>
  <c r="S76" i="15"/>
  <c r="Q76" i="15"/>
  <c r="P76" i="15"/>
  <c r="N76" i="15"/>
  <c r="M76" i="15"/>
  <c r="AC75" i="15"/>
  <c r="AB75" i="15"/>
  <c r="Z75" i="15"/>
  <c r="Y75" i="15"/>
  <c r="W75" i="15"/>
  <c r="V75" i="15"/>
  <c r="T75" i="15"/>
  <c r="S75" i="15"/>
  <c r="Q75" i="15"/>
  <c r="P75" i="15"/>
  <c r="N75" i="15"/>
  <c r="M75" i="15"/>
  <c r="AC74" i="15"/>
  <c r="AB74" i="15"/>
  <c r="Z74" i="15"/>
  <c r="Y74" i="15"/>
  <c r="W74" i="15"/>
  <c r="V74" i="15"/>
  <c r="T74" i="15"/>
  <c r="S74" i="15"/>
  <c r="Q74" i="15"/>
  <c r="P74" i="15"/>
  <c r="N74" i="15"/>
  <c r="M74" i="15"/>
  <c r="AC73" i="15"/>
  <c r="AB73" i="15"/>
  <c r="Z73" i="15"/>
  <c r="Y73" i="15"/>
  <c r="W73" i="15"/>
  <c r="V73" i="15"/>
  <c r="T73" i="15"/>
  <c r="S73" i="15"/>
  <c r="Q73" i="15"/>
  <c r="P73" i="15"/>
  <c r="N73" i="15"/>
  <c r="M73" i="15"/>
  <c r="AC72" i="15"/>
  <c r="AB72" i="15"/>
  <c r="Z72" i="15"/>
  <c r="Y72" i="15"/>
  <c r="W72" i="15"/>
  <c r="V72" i="15"/>
  <c r="T72" i="15"/>
  <c r="S72" i="15"/>
  <c r="Q72" i="15"/>
  <c r="P72" i="15"/>
  <c r="N72" i="15"/>
  <c r="M72" i="15"/>
  <c r="AC71" i="15"/>
  <c r="AB71" i="15"/>
  <c r="Z71" i="15"/>
  <c r="Y71" i="15"/>
  <c r="W71" i="15"/>
  <c r="V71" i="15"/>
  <c r="T71" i="15"/>
  <c r="S71" i="15"/>
  <c r="Q71" i="15"/>
  <c r="P71" i="15"/>
  <c r="N71" i="15"/>
  <c r="M71" i="15"/>
  <c r="AC70" i="15"/>
  <c r="AB70" i="15"/>
  <c r="Z70" i="15"/>
  <c r="Y70" i="15"/>
  <c r="W70" i="15"/>
  <c r="V70" i="15"/>
  <c r="T70" i="15"/>
  <c r="S70" i="15"/>
  <c r="Q70" i="15"/>
  <c r="P70" i="15"/>
  <c r="N70" i="15"/>
  <c r="M70" i="15"/>
  <c r="AC69" i="15"/>
  <c r="AB69" i="15"/>
  <c r="Z69" i="15"/>
  <c r="Y69" i="15"/>
  <c r="W69" i="15"/>
  <c r="V69" i="15"/>
  <c r="T69" i="15"/>
  <c r="S69" i="15"/>
  <c r="Q69" i="15"/>
  <c r="P69" i="15"/>
  <c r="N69" i="15"/>
  <c r="M69" i="15"/>
  <c r="AC68" i="15"/>
  <c r="AB68" i="15"/>
  <c r="Z68" i="15"/>
  <c r="Y68" i="15"/>
  <c r="W68" i="15"/>
  <c r="V68" i="15"/>
  <c r="T68" i="15"/>
  <c r="S68" i="15"/>
  <c r="Q68" i="15"/>
  <c r="P68" i="15"/>
  <c r="N68" i="15"/>
  <c r="M68" i="15"/>
  <c r="AC67" i="15"/>
  <c r="AB67" i="15"/>
  <c r="Z67" i="15"/>
  <c r="Y67" i="15"/>
  <c r="W67" i="15"/>
  <c r="V67" i="15"/>
  <c r="T67" i="15"/>
  <c r="S67" i="15"/>
  <c r="Q67" i="15"/>
  <c r="P67" i="15"/>
  <c r="N67" i="15"/>
  <c r="M67" i="15"/>
  <c r="AC66" i="15"/>
  <c r="AB66" i="15"/>
  <c r="AB65" i="15" s="1"/>
  <c r="Z66" i="15"/>
  <c r="Y66" i="15"/>
  <c r="W66" i="15"/>
  <c r="V66" i="15"/>
  <c r="T66" i="15"/>
  <c r="S66" i="15"/>
  <c r="Q66" i="15"/>
  <c r="P66" i="15"/>
  <c r="N66" i="15"/>
  <c r="M66" i="15"/>
  <c r="M65" i="15" s="1"/>
  <c r="AC64" i="15"/>
  <c r="AB64" i="15"/>
  <c r="Z64" i="15"/>
  <c r="Y64" i="15"/>
  <c r="W64" i="15"/>
  <c r="V64" i="15"/>
  <c r="T64" i="15"/>
  <c r="S64" i="15"/>
  <c r="Q64" i="15"/>
  <c r="P64" i="15"/>
  <c r="N64" i="15"/>
  <c r="M64" i="15"/>
  <c r="AC63" i="15"/>
  <c r="AB63" i="15"/>
  <c r="Z63" i="15"/>
  <c r="Y63" i="15"/>
  <c r="W63" i="15"/>
  <c r="V63" i="15"/>
  <c r="T63" i="15"/>
  <c r="S63" i="15"/>
  <c r="Q63" i="15"/>
  <c r="P63" i="15"/>
  <c r="N63" i="15"/>
  <c r="M63" i="15"/>
  <c r="AC62" i="15"/>
  <c r="AB62" i="15"/>
  <c r="Z62" i="15"/>
  <c r="Y62" i="15"/>
  <c r="W62" i="15"/>
  <c r="V62" i="15"/>
  <c r="T62" i="15"/>
  <c r="S62" i="15"/>
  <c r="Q62" i="15"/>
  <c r="P62" i="15"/>
  <c r="N62" i="15"/>
  <c r="M62" i="15"/>
  <c r="AC61" i="15"/>
  <c r="AB61" i="15"/>
  <c r="Z61" i="15"/>
  <c r="Y61" i="15"/>
  <c r="W61" i="15"/>
  <c r="V61" i="15"/>
  <c r="T61" i="15"/>
  <c r="S61" i="15"/>
  <c r="Q61" i="15"/>
  <c r="P61" i="15"/>
  <c r="N61" i="15"/>
  <c r="M61" i="15"/>
  <c r="AC60" i="15"/>
  <c r="AB60" i="15"/>
  <c r="Z60" i="15"/>
  <c r="Y60" i="15"/>
  <c r="W60" i="15"/>
  <c r="V60" i="15"/>
  <c r="T60" i="15"/>
  <c r="S60" i="15"/>
  <c r="Q60" i="15"/>
  <c r="P60" i="15"/>
  <c r="N60" i="15"/>
  <c r="M60" i="15"/>
  <c r="AC59" i="15"/>
  <c r="AB59" i="15"/>
  <c r="Z59" i="15"/>
  <c r="Y59" i="15"/>
  <c r="W59" i="15"/>
  <c r="V59" i="15"/>
  <c r="T59" i="15"/>
  <c r="S59" i="15"/>
  <c r="Q59" i="15"/>
  <c r="P59" i="15"/>
  <c r="N59" i="15"/>
  <c r="M59" i="15"/>
  <c r="AC58" i="15"/>
  <c r="AB58" i="15"/>
  <c r="Z58" i="15"/>
  <c r="Y58" i="15"/>
  <c r="W58" i="15"/>
  <c r="V58" i="15"/>
  <c r="T58" i="15"/>
  <c r="S58" i="15"/>
  <c r="Q58" i="15"/>
  <c r="P58" i="15"/>
  <c r="N58" i="15"/>
  <c r="M58" i="15"/>
  <c r="AC57" i="15"/>
  <c r="AB57" i="15"/>
  <c r="Z57" i="15"/>
  <c r="Y57" i="15"/>
  <c r="W57" i="15"/>
  <c r="V57" i="15"/>
  <c r="T57" i="15"/>
  <c r="S57" i="15"/>
  <c r="Q57" i="15"/>
  <c r="P57" i="15"/>
  <c r="N57" i="15"/>
  <c r="M57" i="15"/>
  <c r="AC56" i="15"/>
  <c r="AB56" i="15"/>
  <c r="Z56" i="15"/>
  <c r="Y56" i="15"/>
  <c r="W56" i="15"/>
  <c r="V56" i="15"/>
  <c r="T56" i="15"/>
  <c r="S56" i="15"/>
  <c r="Q56" i="15"/>
  <c r="P56" i="15"/>
  <c r="N56" i="15"/>
  <c r="M56" i="15"/>
  <c r="AC55" i="15"/>
  <c r="AB55" i="15"/>
  <c r="Z55" i="15"/>
  <c r="Y55" i="15"/>
  <c r="W55" i="15"/>
  <c r="V55" i="15"/>
  <c r="T55" i="15"/>
  <c r="S55" i="15"/>
  <c r="Q55" i="15"/>
  <c r="P55" i="15"/>
  <c r="N55" i="15"/>
  <c r="M55" i="15"/>
  <c r="AC54" i="15"/>
  <c r="AB54" i="15"/>
  <c r="Z54" i="15"/>
  <c r="Y54" i="15"/>
  <c r="W54" i="15"/>
  <c r="V54" i="15"/>
  <c r="T54" i="15"/>
  <c r="S54" i="15"/>
  <c r="Q54" i="15"/>
  <c r="P54" i="15"/>
  <c r="N54" i="15"/>
  <c r="M54" i="15"/>
  <c r="AC53" i="15"/>
  <c r="AB53" i="15"/>
  <c r="Z53" i="15"/>
  <c r="Y53" i="15"/>
  <c r="W53" i="15"/>
  <c r="V53" i="15"/>
  <c r="T53" i="15"/>
  <c r="S53" i="15"/>
  <c r="Q53" i="15"/>
  <c r="P53" i="15"/>
  <c r="N53" i="15"/>
  <c r="M53" i="15"/>
  <c r="AC52" i="15"/>
  <c r="AB52" i="15"/>
  <c r="Z52" i="15"/>
  <c r="Y52" i="15"/>
  <c r="W52" i="15"/>
  <c r="V52" i="15"/>
  <c r="T52" i="15"/>
  <c r="S52" i="15"/>
  <c r="Q52" i="15"/>
  <c r="P52" i="15"/>
  <c r="N52" i="15"/>
  <c r="M52" i="15"/>
  <c r="AC51" i="15"/>
  <c r="AB51" i="15"/>
  <c r="Z51" i="15"/>
  <c r="Y51" i="15"/>
  <c r="V51" i="15"/>
  <c r="T51" i="15"/>
  <c r="S51" i="15"/>
  <c r="Q51" i="15"/>
  <c r="P51" i="15"/>
  <c r="N51" i="15"/>
  <c r="M51" i="15"/>
  <c r="AC50" i="15"/>
  <c r="AB50" i="15"/>
  <c r="Z50" i="15"/>
  <c r="Y50" i="15"/>
  <c r="W50" i="15"/>
  <c r="V50" i="15"/>
  <c r="T50" i="15"/>
  <c r="S50" i="15"/>
  <c r="Q50" i="15"/>
  <c r="P50" i="15"/>
  <c r="N50" i="15"/>
  <c r="M50" i="15"/>
  <c r="AC49" i="15"/>
  <c r="AB49" i="15"/>
  <c r="Z49" i="15"/>
  <c r="Y49" i="15"/>
  <c r="W49" i="15"/>
  <c r="V49" i="15"/>
  <c r="T49" i="15"/>
  <c r="S49" i="15"/>
  <c r="Q49" i="15"/>
  <c r="P49" i="15"/>
  <c r="N49" i="15"/>
  <c r="M49" i="15"/>
  <c r="AC48" i="15"/>
  <c r="AB48" i="15"/>
  <c r="Z48" i="15"/>
  <c r="Y48" i="15"/>
  <c r="T48" i="15"/>
  <c r="S48" i="15"/>
  <c r="Q48" i="15"/>
  <c r="P48" i="15"/>
  <c r="N48" i="15"/>
  <c r="M48" i="15"/>
  <c r="AC47" i="15"/>
  <c r="AB47" i="15"/>
  <c r="Z47" i="15"/>
  <c r="Y47" i="15"/>
  <c r="W47" i="15"/>
  <c r="V47" i="15"/>
  <c r="T47" i="15"/>
  <c r="S47" i="15"/>
  <c r="Q47" i="15"/>
  <c r="P47" i="15"/>
  <c r="N47" i="15"/>
  <c r="M47" i="15"/>
  <c r="AC46" i="15"/>
  <c r="AB46" i="15"/>
  <c r="Z46" i="15"/>
  <c r="Y46" i="15"/>
  <c r="W46" i="15"/>
  <c r="V46" i="15"/>
  <c r="T46" i="15"/>
  <c r="S46" i="15"/>
  <c r="Q46" i="15"/>
  <c r="P46" i="15"/>
  <c r="N46" i="15"/>
  <c r="M46" i="15"/>
  <c r="AC45" i="15"/>
  <c r="AB45" i="15"/>
  <c r="Z45" i="15"/>
  <c r="Y45" i="15"/>
  <c r="W45" i="15"/>
  <c r="V45" i="15"/>
  <c r="T45" i="15"/>
  <c r="S45" i="15"/>
  <c r="Q45" i="15"/>
  <c r="P45" i="15"/>
  <c r="N45" i="15"/>
  <c r="M45" i="15"/>
  <c r="AC44" i="15"/>
  <c r="AB44" i="15"/>
  <c r="Z44" i="15"/>
  <c r="Y44" i="15"/>
  <c r="W44" i="15"/>
  <c r="V44" i="15"/>
  <c r="T44" i="15"/>
  <c r="S44" i="15"/>
  <c r="Q44" i="15"/>
  <c r="P44" i="15"/>
  <c r="N44" i="15"/>
  <c r="M44" i="15"/>
  <c r="AC43" i="15"/>
  <c r="AB43" i="15"/>
  <c r="Z43" i="15"/>
  <c r="Y43" i="15"/>
  <c r="W43" i="15"/>
  <c r="V43" i="15"/>
  <c r="T43" i="15"/>
  <c r="S43" i="15"/>
  <c r="Q43" i="15"/>
  <c r="P43" i="15"/>
  <c r="N43" i="15"/>
  <c r="M43" i="15"/>
  <c r="AC42" i="15"/>
  <c r="AB42" i="15"/>
  <c r="Z42" i="15"/>
  <c r="Y42" i="15"/>
  <c r="W42" i="15"/>
  <c r="V42" i="15"/>
  <c r="T42" i="15"/>
  <c r="S42" i="15"/>
  <c r="Q42" i="15"/>
  <c r="P42" i="15"/>
  <c r="N42" i="15"/>
  <c r="M42" i="15"/>
  <c r="AC41" i="15"/>
  <c r="AB41" i="15"/>
  <c r="Z41" i="15"/>
  <c r="Y41" i="15"/>
  <c r="W41" i="15"/>
  <c r="V41" i="15"/>
  <c r="T41" i="15"/>
  <c r="S41" i="15"/>
  <c r="Q41" i="15"/>
  <c r="P41" i="15"/>
  <c r="N41" i="15"/>
  <c r="M41" i="15"/>
  <c r="AC40" i="15"/>
  <c r="AB40" i="15"/>
  <c r="Z40" i="15"/>
  <c r="Y40" i="15"/>
  <c r="W40" i="15"/>
  <c r="V40" i="15"/>
  <c r="T40" i="15"/>
  <c r="S40" i="15"/>
  <c r="Q40" i="15"/>
  <c r="P40" i="15"/>
  <c r="N40" i="15"/>
  <c r="M40" i="15"/>
  <c r="AC39" i="15"/>
  <c r="AB39" i="15"/>
  <c r="Z39" i="15"/>
  <c r="Y39" i="15"/>
  <c r="W39" i="15"/>
  <c r="V39" i="15"/>
  <c r="T39" i="15"/>
  <c r="S39" i="15"/>
  <c r="Q39" i="15"/>
  <c r="P39" i="15"/>
  <c r="N39" i="15"/>
  <c r="M39" i="15"/>
  <c r="AC38" i="15"/>
  <c r="AB38" i="15"/>
  <c r="Z38" i="15"/>
  <c r="Y38" i="15"/>
  <c r="W38" i="15"/>
  <c r="V38" i="15"/>
  <c r="T38" i="15"/>
  <c r="S38" i="15"/>
  <c r="Q38" i="15"/>
  <c r="P38" i="15"/>
  <c r="N38" i="15"/>
  <c r="M38" i="15"/>
  <c r="AC37" i="15"/>
  <c r="AB37" i="15"/>
  <c r="Z37" i="15"/>
  <c r="Y37" i="15"/>
  <c r="W37" i="15"/>
  <c r="V37" i="15"/>
  <c r="T37" i="15"/>
  <c r="S37" i="15"/>
  <c r="Q37" i="15"/>
  <c r="P37" i="15"/>
  <c r="N37" i="15"/>
  <c r="M37" i="15"/>
  <c r="AC36" i="15"/>
  <c r="AB36" i="15"/>
  <c r="Z36" i="15"/>
  <c r="Y36" i="15"/>
  <c r="W36" i="15"/>
  <c r="V36" i="15"/>
  <c r="T36" i="15"/>
  <c r="S36" i="15"/>
  <c r="Q36" i="15"/>
  <c r="P36" i="15"/>
  <c r="N36" i="15"/>
  <c r="M36" i="15"/>
  <c r="M35" i="15" s="1"/>
  <c r="AC34" i="15"/>
  <c r="AB34" i="15"/>
  <c r="Z34" i="15"/>
  <c r="Y34" i="15"/>
  <c r="W34" i="15"/>
  <c r="V34" i="15"/>
  <c r="T34" i="15"/>
  <c r="S34" i="15"/>
  <c r="Q34" i="15"/>
  <c r="P34" i="15"/>
  <c r="N34" i="15"/>
  <c r="M34" i="15"/>
  <c r="AC33" i="15"/>
  <c r="AB33" i="15"/>
  <c r="AB32" i="15" s="1"/>
  <c r="Z33" i="15"/>
  <c r="Y33" i="15"/>
  <c r="Y32" i="15" s="1"/>
  <c r="W33" i="15"/>
  <c r="V33" i="15"/>
  <c r="T33" i="15"/>
  <c r="S33" i="15"/>
  <c r="Q33" i="15"/>
  <c r="P33" i="15"/>
  <c r="P32" i="15" s="1"/>
  <c r="N33" i="15"/>
  <c r="M33" i="15"/>
  <c r="AC31" i="15"/>
  <c r="AB31" i="15"/>
  <c r="Z31" i="15"/>
  <c r="Y31" i="15"/>
  <c r="W31" i="15"/>
  <c r="V31" i="15"/>
  <c r="T31" i="15"/>
  <c r="S31" i="15"/>
  <c r="Q31" i="15"/>
  <c r="P31" i="15"/>
  <c r="N31" i="15"/>
  <c r="M31" i="15"/>
  <c r="AC30" i="15"/>
  <c r="AB30" i="15"/>
  <c r="Z30" i="15"/>
  <c r="Y30" i="15"/>
  <c r="W30" i="15"/>
  <c r="V30" i="15"/>
  <c r="T30" i="15"/>
  <c r="S30" i="15"/>
  <c r="Q30" i="15"/>
  <c r="P30" i="15"/>
  <c r="N30" i="15"/>
  <c r="M30" i="15"/>
  <c r="AC29" i="15"/>
  <c r="AB29" i="15"/>
  <c r="Z29" i="15"/>
  <c r="Y29" i="15"/>
  <c r="W29" i="15"/>
  <c r="V29" i="15"/>
  <c r="T29" i="15"/>
  <c r="S29" i="15"/>
  <c r="Q29" i="15"/>
  <c r="P29" i="15"/>
  <c r="N29" i="15"/>
  <c r="M29" i="15"/>
  <c r="AC28" i="15"/>
  <c r="AB28" i="15"/>
  <c r="Z28" i="15"/>
  <c r="Y28" i="15"/>
  <c r="W28" i="15"/>
  <c r="V28" i="15"/>
  <c r="T28" i="15"/>
  <c r="S28" i="15"/>
  <c r="S27" i="15" s="1"/>
  <c r="Q28" i="15"/>
  <c r="P28" i="15"/>
  <c r="P27" i="15" s="1"/>
  <c r="N28" i="15"/>
  <c r="M28" i="15"/>
  <c r="AC26" i="15"/>
  <c r="AB26" i="15"/>
  <c r="Z26" i="15"/>
  <c r="Y26" i="15"/>
  <c r="W26" i="15"/>
  <c r="V26" i="15"/>
  <c r="T26" i="15"/>
  <c r="S26" i="15"/>
  <c r="Q26" i="15"/>
  <c r="P26" i="15"/>
  <c r="N26" i="15"/>
  <c r="M26" i="15"/>
  <c r="AC25" i="15"/>
  <c r="AB25" i="15"/>
  <c r="Z25" i="15"/>
  <c r="Y25" i="15"/>
  <c r="W25" i="15"/>
  <c r="V25" i="15"/>
  <c r="T25" i="15"/>
  <c r="S25" i="15"/>
  <c r="Q25" i="15"/>
  <c r="P25" i="15"/>
  <c r="N25" i="15"/>
  <c r="M25" i="15"/>
  <c r="AC24" i="15"/>
  <c r="AB24" i="15"/>
  <c r="Z24" i="15"/>
  <c r="Y24" i="15"/>
  <c r="W24" i="15"/>
  <c r="V24" i="15"/>
  <c r="T24" i="15"/>
  <c r="S24" i="15"/>
  <c r="Q24" i="15"/>
  <c r="P24" i="15"/>
  <c r="N24" i="15"/>
  <c r="M24" i="15"/>
  <c r="AC23" i="15"/>
  <c r="AB23" i="15"/>
  <c r="Z23" i="15"/>
  <c r="Y23" i="15"/>
  <c r="W23" i="15"/>
  <c r="V23" i="15"/>
  <c r="T23" i="15"/>
  <c r="S23" i="15"/>
  <c r="Q23" i="15"/>
  <c r="P23" i="15"/>
  <c r="N23" i="15"/>
  <c r="M23" i="15"/>
  <c r="AC22" i="15"/>
  <c r="AB22" i="15"/>
  <c r="Z22" i="15"/>
  <c r="Y22" i="15"/>
  <c r="W22" i="15"/>
  <c r="V22" i="15"/>
  <c r="T22" i="15"/>
  <c r="S22" i="15"/>
  <c r="Q22" i="15"/>
  <c r="P22" i="15"/>
  <c r="N22" i="15"/>
  <c r="M22" i="15"/>
  <c r="AC21" i="15"/>
  <c r="AB21" i="15"/>
  <c r="Z21" i="15"/>
  <c r="Y21" i="15"/>
  <c r="W21" i="15"/>
  <c r="V21" i="15"/>
  <c r="T21" i="15"/>
  <c r="S21" i="15"/>
  <c r="Q21" i="15"/>
  <c r="P21" i="15"/>
  <c r="N21" i="15"/>
  <c r="M21" i="15"/>
  <c r="AC20" i="15"/>
  <c r="AB20" i="15"/>
  <c r="Z20" i="15"/>
  <c r="Y20" i="15"/>
  <c r="W20" i="15"/>
  <c r="V20" i="15"/>
  <c r="T20" i="15"/>
  <c r="S20" i="15"/>
  <c r="Q20" i="15"/>
  <c r="P20" i="15"/>
  <c r="N20" i="15"/>
  <c r="M20" i="15"/>
  <c r="AC19" i="15"/>
  <c r="AB19" i="15"/>
  <c r="Z19" i="15"/>
  <c r="Y19" i="15"/>
  <c r="W19" i="15"/>
  <c r="V19" i="15"/>
  <c r="T19" i="15"/>
  <c r="S19" i="15"/>
  <c r="Q19" i="15"/>
  <c r="P19" i="15"/>
  <c r="N19" i="15"/>
  <c r="M19" i="15"/>
  <c r="AC18" i="15"/>
  <c r="AB18" i="15"/>
  <c r="Z18" i="15"/>
  <c r="Y18" i="15"/>
  <c r="W18" i="15"/>
  <c r="V18" i="15"/>
  <c r="T18" i="15"/>
  <c r="S18" i="15"/>
  <c r="Q18" i="15"/>
  <c r="P18" i="15"/>
  <c r="N18" i="15"/>
  <c r="M18" i="15"/>
  <c r="AC17" i="15"/>
  <c r="AB17" i="15"/>
  <c r="Z17" i="15"/>
  <c r="Y17" i="15"/>
  <c r="W17" i="15"/>
  <c r="V17" i="15"/>
  <c r="T17" i="15"/>
  <c r="S17" i="15"/>
  <c r="Q17" i="15"/>
  <c r="P17" i="15"/>
  <c r="N17" i="15"/>
  <c r="M17" i="15"/>
  <c r="AC16" i="15"/>
  <c r="AB16" i="15"/>
  <c r="Z16" i="15"/>
  <c r="Y16" i="15"/>
  <c r="W16" i="15"/>
  <c r="V16" i="15"/>
  <c r="T16" i="15"/>
  <c r="S16" i="15"/>
  <c r="Q16" i="15"/>
  <c r="P16" i="15"/>
  <c r="N16" i="15"/>
  <c r="M16" i="15"/>
  <c r="AC15" i="15"/>
  <c r="AB15" i="15"/>
  <c r="AB14" i="15" s="1"/>
  <c r="Z15" i="15"/>
  <c r="Y15" i="15"/>
  <c r="W15" i="15"/>
  <c r="V15" i="15"/>
  <c r="T15" i="15"/>
  <c r="S15" i="15"/>
  <c r="Q15" i="15"/>
  <c r="P15" i="15"/>
  <c r="N15" i="15"/>
  <c r="M15" i="15"/>
  <c r="V82" i="15" l="1"/>
  <c r="S32" i="15"/>
  <c r="S65" i="15"/>
  <c r="M14" i="15"/>
  <c r="Y27" i="15"/>
  <c r="V65" i="15"/>
  <c r="P79" i="15"/>
  <c r="V35" i="15"/>
  <c r="AB82" i="15"/>
  <c r="AB35" i="15"/>
  <c r="V14" i="15"/>
  <c r="S79" i="15"/>
  <c r="S35" i="15"/>
  <c r="S14" i="15"/>
  <c r="P65" i="15"/>
  <c r="M32" i="15"/>
  <c r="V27" i="15"/>
  <c r="AB27" i="15"/>
  <c r="M27" i="15"/>
  <c r="P82" i="15"/>
  <c r="P14" i="15"/>
  <c r="Y14" i="15"/>
  <c r="V32" i="15"/>
  <c r="Y65" i="15"/>
  <c r="P35" i="15"/>
  <c r="Y35" i="15"/>
  <c r="M79" i="15"/>
  <c r="V79" i="15"/>
  <c r="AB79" i="15"/>
  <c r="K63" i="15"/>
  <c r="K51" i="15"/>
  <c r="K48" i="15"/>
  <c r="K45" i="15"/>
  <c r="K44" i="15"/>
  <c r="K43" i="15"/>
  <c r="K20" i="15"/>
  <c r="K19" i="15"/>
  <c r="M87" i="15" l="1"/>
  <c r="P87" i="15"/>
  <c r="P90" i="15" s="1"/>
  <c r="Y87" i="15"/>
  <c r="AB87" i="15"/>
  <c r="AB90" i="15" s="1"/>
  <c r="S87" i="15"/>
  <c r="S88" i="15" s="1"/>
  <c r="Y88" i="15"/>
  <c r="Y90" i="15"/>
  <c r="V87" i="15"/>
  <c r="V89" i="15" s="1"/>
  <c r="Y89" i="15"/>
  <c r="M89" i="15"/>
  <c r="M90" i="15"/>
  <c r="M88" i="15"/>
  <c r="K86" i="15"/>
  <c r="K85" i="15"/>
  <c r="K84" i="15"/>
  <c r="K83" i="15"/>
  <c r="K81" i="15"/>
  <c r="K80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4" i="15"/>
  <c r="K62" i="15"/>
  <c r="K61" i="15"/>
  <c r="K60" i="15"/>
  <c r="K59" i="15"/>
  <c r="K58" i="15"/>
  <c r="K57" i="15"/>
  <c r="K56" i="15"/>
  <c r="K55" i="15"/>
  <c r="K54" i="15"/>
  <c r="K53" i="15"/>
  <c r="K52" i="15"/>
  <c r="K50" i="15"/>
  <c r="K49" i="15"/>
  <c r="K47" i="15"/>
  <c r="K46" i="15"/>
  <c r="K42" i="15"/>
  <c r="K41" i="15"/>
  <c r="K40" i="15"/>
  <c r="K39" i="15"/>
  <c r="K38" i="15"/>
  <c r="K37" i="15"/>
  <c r="K36" i="15"/>
  <c r="K34" i="15"/>
  <c r="K33" i="15"/>
  <c r="K31" i="15"/>
  <c r="K30" i="15"/>
  <c r="K29" i="15"/>
  <c r="K28" i="15"/>
  <c r="K26" i="15"/>
  <c r="K25" i="15"/>
  <c r="K24" i="15"/>
  <c r="K23" i="15"/>
  <c r="K22" i="15"/>
  <c r="K21" i="15"/>
  <c r="K18" i="15"/>
  <c r="K17" i="15"/>
  <c r="K16" i="15"/>
  <c r="J77" i="15"/>
  <c r="H77" i="15"/>
  <c r="J76" i="15"/>
  <c r="H76" i="15"/>
  <c r="J75" i="15"/>
  <c r="H75" i="15"/>
  <c r="J74" i="15"/>
  <c r="H74" i="15"/>
  <c r="J73" i="15"/>
  <c r="H73" i="15"/>
  <c r="J72" i="15"/>
  <c r="H72" i="15"/>
  <c r="J71" i="15"/>
  <c r="H71" i="15"/>
  <c r="J70" i="15"/>
  <c r="H70" i="15"/>
  <c r="J69" i="15"/>
  <c r="H69" i="15"/>
  <c r="J68" i="15"/>
  <c r="H68" i="15"/>
  <c r="J67" i="15"/>
  <c r="H67" i="15"/>
  <c r="J78" i="15"/>
  <c r="H78" i="15"/>
  <c r="J66" i="15"/>
  <c r="H66" i="15"/>
  <c r="J50" i="15"/>
  <c r="H50" i="15"/>
  <c r="J49" i="15"/>
  <c r="H49" i="15"/>
  <c r="J48" i="15"/>
  <c r="H48" i="15"/>
  <c r="J47" i="15"/>
  <c r="H47" i="15"/>
  <c r="J46" i="15"/>
  <c r="H46" i="15"/>
  <c r="J45" i="15"/>
  <c r="H45" i="15"/>
  <c r="J44" i="15"/>
  <c r="H44" i="15"/>
  <c r="J43" i="15"/>
  <c r="H43" i="15"/>
  <c r="J42" i="15"/>
  <c r="H42" i="15"/>
  <c r="J41" i="15"/>
  <c r="H41" i="15"/>
  <c r="J40" i="15"/>
  <c r="H40" i="15"/>
  <c r="J39" i="15"/>
  <c r="H39" i="15"/>
  <c r="J38" i="15"/>
  <c r="H38" i="15"/>
  <c r="J37" i="15"/>
  <c r="H37" i="15"/>
  <c r="J29" i="15"/>
  <c r="H29" i="15"/>
  <c r="J26" i="15"/>
  <c r="H26" i="15"/>
  <c r="J25" i="15"/>
  <c r="H25" i="15"/>
  <c r="J24" i="15"/>
  <c r="H24" i="15"/>
  <c r="J23" i="15"/>
  <c r="H23" i="15"/>
  <c r="J22" i="15"/>
  <c r="H22" i="15"/>
  <c r="J21" i="15"/>
  <c r="H21" i="15"/>
  <c r="J20" i="15"/>
  <c r="H20" i="15"/>
  <c r="J19" i="15"/>
  <c r="H19" i="15"/>
  <c r="J18" i="15"/>
  <c r="H18" i="15"/>
  <c r="J17" i="15"/>
  <c r="H17" i="15"/>
  <c r="J16" i="15"/>
  <c r="H16" i="15"/>
  <c r="Y91" i="15" l="1"/>
  <c r="P88" i="15"/>
  <c r="P89" i="15"/>
  <c r="AB88" i="15"/>
  <c r="AB89" i="15"/>
  <c r="V88" i="15"/>
  <c r="S89" i="15"/>
  <c r="S90" i="15"/>
  <c r="V90" i="15"/>
  <c r="M91" i="15"/>
  <c r="M92" i="15" s="1"/>
  <c r="H65" i="15"/>
  <c r="Y92" i="15"/>
  <c r="J65" i="15"/>
  <c r="P91" i="15" l="1"/>
  <c r="P92" i="15" s="1"/>
  <c r="AB91" i="15"/>
  <c r="AB92" i="15" s="1"/>
  <c r="AB93" i="15" s="1"/>
  <c r="AB94" i="15" s="1"/>
  <c r="AB97" i="15" s="1"/>
  <c r="V91" i="15"/>
  <c r="V92" i="15" s="1"/>
  <c r="S91" i="15"/>
  <c r="S92" i="15" s="1"/>
  <c r="P93" i="15"/>
  <c r="P94" i="15" s="1"/>
  <c r="P97" i="15" s="1"/>
  <c r="M93" i="15"/>
  <c r="M94" i="15" s="1"/>
  <c r="M97" i="15" s="1"/>
  <c r="Y93" i="15"/>
  <c r="Y94" i="15" s="1"/>
  <c r="Y97" i="15" s="1"/>
  <c r="J86" i="15"/>
  <c r="J85" i="15"/>
  <c r="J84" i="15"/>
  <c r="J83" i="15"/>
  <c r="J81" i="15"/>
  <c r="J80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36" i="15"/>
  <c r="J33" i="15"/>
  <c r="J31" i="15"/>
  <c r="J30" i="15"/>
  <c r="J28" i="15"/>
  <c r="J15" i="15"/>
  <c r="J14" i="15" s="1"/>
  <c r="J35" i="15" l="1"/>
  <c r="S93" i="15"/>
  <c r="S94" i="15" s="1"/>
  <c r="S97" i="15" s="1"/>
  <c r="V93" i="15"/>
  <c r="V94" i="15" s="1"/>
  <c r="V97" i="15" s="1"/>
  <c r="I91" i="15"/>
  <c r="K96" i="15"/>
  <c r="G91" i="15"/>
  <c r="H84" i="15"/>
  <c r="H86" i="15"/>
  <c r="H85" i="15" l="1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30" i="15"/>
  <c r="H81" i="15"/>
  <c r="H80" i="15"/>
  <c r="H64" i="15"/>
  <c r="H36" i="15"/>
  <c r="H79" i="15" l="1"/>
  <c r="H35" i="15"/>
  <c r="J79" i="15"/>
  <c r="K95" i="15" l="1"/>
  <c r="H15" i="15" l="1"/>
  <c r="H14" i="15" s="1"/>
  <c r="H83" i="15" l="1"/>
  <c r="H82" i="15" s="1"/>
  <c r="J82" i="15"/>
  <c r="H34" i="15"/>
  <c r="H33" i="15"/>
  <c r="H32" i="15" l="1"/>
  <c r="J32" i="15"/>
  <c r="H28" i="15" l="1"/>
  <c r="H31" i="15"/>
  <c r="X10" i="15"/>
  <c r="Y98" i="15" s="1"/>
  <c r="AA10" i="15"/>
  <c r="L10" i="15"/>
  <c r="M98" i="15" s="1"/>
  <c r="U10" i="15"/>
  <c r="R10" i="15"/>
  <c r="O10" i="15"/>
  <c r="P98" i="15" s="1"/>
  <c r="K15" i="15"/>
  <c r="I10" i="15"/>
  <c r="M23" i="10"/>
  <c r="C21" i="10"/>
  <c r="I21" i="10" s="1"/>
  <c r="C22" i="10"/>
  <c r="C46" i="107"/>
  <c r="D46" i="107" s="1"/>
  <c r="C47" i="107"/>
  <c r="D47" i="107" s="1"/>
  <c r="C48" i="107"/>
  <c r="D48" i="107" s="1"/>
  <c r="C49" i="107"/>
  <c r="D49" i="107" s="1"/>
  <c r="C50" i="107"/>
  <c r="D50" i="107" s="1"/>
  <c r="C45" i="107"/>
  <c r="D45" i="107" s="1"/>
  <c r="I12" i="15"/>
  <c r="I11" i="15"/>
  <c r="I99" i="15" s="1"/>
  <c r="AA12" i="15"/>
  <c r="AA11" i="15"/>
  <c r="AA99" i="15" s="1"/>
  <c r="X12" i="15"/>
  <c r="X11" i="15"/>
  <c r="X99" i="15" s="1"/>
  <c r="U12" i="15"/>
  <c r="U11" i="15"/>
  <c r="U99" i="15" s="1"/>
  <c r="R12" i="15"/>
  <c r="R11" i="15"/>
  <c r="R99" i="15" s="1"/>
  <c r="O12" i="15"/>
  <c r="O11" i="15"/>
  <c r="O99" i="15" s="1"/>
  <c r="L12" i="15"/>
  <c r="L11" i="15"/>
  <c r="L99" i="15" s="1"/>
  <c r="C17" i="10"/>
  <c r="J17" i="10" s="1"/>
  <c r="C18" i="10"/>
  <c r="J18" i="10" s="1"/>
  <c r="C19" i="10"/>
  <c r="I19" i="10" s="1"/>
  <c r="C20" i="10"/>
  <c r="J20" i="10" s="1"/>
  <c r="K14" i="10"/>
  <c r="B8" i="10"/>
  <c r="P8" i="10" s="1"/>
  <c r="H14" i="107"/>
  <c r="E15" i="107" s="1"/>
  <c r="C44" i="107"/>
  <c r="D44" i="107" s="1"/>
  <c r="AH42" i="107"/>
  <c r="AG42" i="107"/>
  <c r="AF42" i="107"/>
  <c r="AE42" i="107"/>
  <c r="B7" i="107"/>
  <c r="B5" i="107"/>
  <c r="B3" i="107"/>
  <c r="B1" i="107"/>
  <c r="C16" i="10"/>
  <c r="J16" i="10" s="1"/>
  <c r="E23" i="13"/>
  <c r="E24" i="13"/>
  <c r="E25" i="13"/>
  <c r="B5" i="10"/>
  <c r="P5" i="10" s="1"/>
  <c r="B5" i="15"/>
  <c r="B7" i="10"/>
  <c r="P7" i="10" s="1"/>
  <c r="B3" i="10"/>
  <c r="P3" i="10" s="1"/>
  <c r="B1" i="10"/>
  <c r="P1" i="10" s="1"/>
  <c r="B3" i="15"/>
  <c r="B7" i="15"/>
  <c r="B1" i="15"/>
  <c r="P17" i="10"/>
  <c r="P18" i="10" s="1"/>
  <c r="P22" i="10" s="1"/>
  <c r="H16" i="10"/>
  <c r="D22" i="10"/>
  <c r="I22" i="10"/>
  <c r="M16" i="10"/>
  <c r="M22" i="10"/>
  <c r="H18" i="10" l="1"/>
  <c r="D19" i="10"/>
  <c r="H21" i="10"/>
  <c r="M21" i="10"/>
  <c r="D21" i="10"/>
  <c r="J21" i="10"/>
  <c r="D20" i="10"/>
  <c r="I20" i="10"/>
  <c r="M20" i="10"/>
  <c r="H20" i="10"/>
  <c r="I18" i="10"/>
  <c r="D18" i="10"/>
  <c r="M18" i="10"/>
  <c r="E26" i="13"/>
  <c r="E38" i="107"/>
  <c r="J19" i="10"/>
  <c r="H19" i="10"/>
  <c r="H17" i="10"/>
  <c r="D17" i="10"/>
  <c r="D16" i="10"/>
  <c r="I17" i="10"/>
  <c r="J22" i="10"/>
  <c r="H22" i="10"/>
  <c r="M17" i="10"/>
  <c r="M19" i="10"/>
  <c r="I16" i="10"/>
  <c r="J27" i="15"/>
  <c r="J87" i="15" s="1"/>
  <c r="H27" i="15"/>
  <c r="H87" i="15" s="1"/>
  <c r="J89" i="15" l="1"/>
  <c r="J88" i="15"/>
  <c r="J90" i="15"/>
  <c r="H88" i="15"/>
  <c r="H89" i="15"/>
  <c r="H90" i="15"/>
  <c r="H91" i="15" l="1"/>
  <c r="H92" i="15" l="1"/>
  <c r="Z91" i="15"/>
  <c r="Z98" i="15" s="1"/>
  <c r="Q91" i="15"/>
  <c r="Q98" i="15" s="1"/>
  <c r="N91" i="15"/>
  <c r="N98" i="15" s="1"/>
  <c r="AC91" i="15"/>
  <c r="AC98" i="15" s="1"/>
  <c r="W91" i="15"/>
  <c r="W98" i="15" s="1"/>
  <c r="T91" i="15"/>
  <c r="T98" i="15" s="1"/>
  <c r="J91" i="15"/>
  <c r="J92" i="15" s="1"/>
  <c r="H93" i="15"/>
  <c r="J93" i="15" l="1"/>
  <c r="J94" i="15" s="1"/>
  <c r="J97" i="15" s="1"/>
  <c r="K91" i="15"/>
  <c r="K98" i="15" s="1"/>
  <c r="H94" i="15"/>
  <c r="H97" i="15" s="1"/>
  <c r="H98" i="15" s="1"/>
  <c r="V98" i="15" l="1"/>
  <c r="AB98" i="15"/>
  <c r="S98" i="15"/>
  <c r="E45" i="107"/>
  <c r="E17" i="10" s="1"/>
  <c r="E49" i="107"/>
  <c r="F49" i="107" s="1"/>
  <c r="J98" i="15"/>
  <c r="H24" i="107"/>
  <c r="E21" i="10" l="1"/>
  <c r="G49" i="107"/>
  <c r="F21" i="10" s="1"/>
  <c r="G45" i="107"/>
  <c r="F17" i="10" s="1"/>
  <c r="I45" i="107"/>
  <c r="F45" i="107"/>
  <c r="E46" i="107"/>
  <c r="O45" i="107" s="1"/>
  <c r="E47" i="107"/>
  <c r="E19" i="10" s="1"/>
  <c r="I49" i="107"/>
  <c r="E48" i="107"/>
  <c r="E20" i="10" s="1"/>
  <c r="E50" i="107"/>
  <c r="O49" i="107" s="1"/>
  <c r="E44" i="107"/>
  <c r="E16" i="10" s="1"/>
  <c r="E18" i="10" l="1"/>
  <c r="E22" i="10"/>
  <c r="F44" i="107"/>
  <c r="G44" i="107"/>
  <c r="F16" i="10" s="1"/>
  <c r="F50" i="107"/>
  <c r="I50" i="107"/>
  <c r="G50" i="107"/>
  <c r="F22" i="10" s="1"/>
  <c r="O50" i="107"/>
  <c r="I44" i="107"/>
  <c r="O47" i="107"/>
  <c r="F47" i="107"/>
  <c r="I47" i="107"/>
  <c r="G47" i="107"/>
  <c r="I48" i="107"/>
  <c r="F48" i="107"/>
  <c r="G48" i="107"/>
  <c r="O48" i="107"/>
  <c r="O44" i="107"/>
  <c r="G46" i="107"/>
  <c r="F46" i="107"/>
  <c r="O46" i="107"/>
  <c r="I46" i="107"/>
  <c r="F19" i="10" l="1"/>
  <c r="F20" i="10"/>
  <c r="F18" i="10"/>
  <c r="N49" i="107" l="1"/>
  <c r="N46" i="107"/>
  <c r="N47" i="107"/>
  <c r="N44" i="107"/>
  <c r="N45" i="107"/>
  <c r="H18" i="107"/>
  <c r="N50" i="107"/>
  <c r="N48" i="107"/>
  <c r="H32" i="107" l="1"/>
  <c r="H34" i="107" s="1"/>
  <c r="H23" i="107"/>
  <c r="H33" i="107"/>
  <c r="H21" i="107"/>
  <c r="H28" i="107" s="1"/>
  <c r="H19" i="107"/>
  <c r="H22" i="107"/>
  <c r="H20" i="107"/>
  <c r="H38" i="107" l="1"/>
  <c r="H30" i="107"/>
  <c r="J47" i="107"/>
  <c r="J50" i="107"/>
  <c r="J44" i="107"/>
  <c r="J49" i="107"/>
  <c r="J48" i="107"/>
  <c r="J46" i="107"/>
  <c r="J45" i="107"/>
  <c r="M44" i="107"/>
  <c r="M50" i="107"/>
  <c r="M45" i="107"/>
  <c r="M49" i="107"/>
  <c r="M47" i="107"/>
  <c r="M48" i="107"/>
  <c r="M46" i="107"/>
  <c r="H35" i="107"/>
  <c r="H56" i="107" l="1"/>
  <c r="K44" i="107"/>
  <c r="K47" i="107"/>
  <c r="K50" i="107"/>
  <c r="K45" i="107"/>
  <c r="K48" i="107"/>
  <c r="K46" i="107"/>
  <c r="K49" i="107"/>
  <c r="L50" i="107"/>
  <c r="L45" i="107"/>
  <c r="L48" i="107"/>
  <c r="L44" i="107"/>
  <c r="L47" i="107"/>
  <c r="L49" i="107"/>
  <c r="L46" i="107"/>
  <c r="H55" i="107" l="1"/>
  <c r="H50" i="107"/>
  <c r="H45" i="107"/>
  <c r="G17" i="10" s="1"/>
  <c r="K17" i="10" s="1"/>
  <c r="H49" i="107"/>
  <c r="G21" i="10" s="1"/>
  <c r="K21" i="10" s="1"/>
  <c r="H46" i="107"/>
  <c r="G18" i="10" s="1"/>
  <c r="K18" i="10" s="1"/>
  <c r="H48" i="107"/>
  <c r="G20" i="10" s="1"/>
  <c r="K20" i="10" s="1"/>
  <c r="H47" i="107"/>
  <c r="G19" i="10" s="1"/>
  <c r="K19" i="10" s="1"/>
  <c r="H44" i="107"/>
  <c r="G16" i="10" s="1"/>
  <c r="K16" i="10" s="1"/>
  <c r="G22" i="10" l="1"/>
  <c r="K22" i="10" s="1"/>
  <c r="H54" i="107"/>
  <c r="H62" i="107"/>
  <c r="H57" i="107" s="1"/>
  <c r="H59" i="107" l="1"/>
  <c r="H58" i="107"/>
  <c r="O16" i="10"/>
  <c r="O19" i="10"/>
  <c r="O18" i="10"/>
  <c r="O22" i="10"/>
  <c r="O21" i="10"/>
  <c r="O17" i="10"/>
  <c r="O20" i="10"/>
  <c r="Q16" i="10" l="1"/>
  <c r="P13" i="10" s="1"/>
  <c r="P25" i="10" s="1"/>
  <c r="Q17" i="10"/>
  <c r="S17" i="10" s="1"/>
  <c r="Q18" i="10"/>
  <c r="R18" i="10" s="1"/>
  <c r="Q19" i="10"/>
  <c r="R19" i="10" s="1"/>
  <c r="Q21" i="10"/>
  <c r="R21" i="10" s="1"/>
  <c r="Q20" i="10"/>
  <c r="R20" i="10" s="1"/>
  <c r="Q22" i="10"/>
  <c r="S22" i="10" s="1"/>
  <c r="S16" i="10" l="1"/>
  <c r="R16" i="10"/>
  <c r="R17" i="10"/>
  <c r="S18" i="10"/>
  <c r="S19" i="10"/>
  <c r="S20" i="10"/>
  <c r="S21" i="10"/>
  <c r="R22" i="10"/>
</calcChain>
</file>

<file path=xl/sharedStrings.xml><?xml version="1.0" encoding="utf-8"?>
<sst xmlns="http://schemas.openxmlformats.org/spreadsheetml/2006/main" count="389" uniqueCount="277">
  <si>
    <t>PRESUPUESTO OFICIAL</t>
  </si>
  <si>
    <t>UNIDAD</t>
  </si>
  <si>
    <t>VR PARCIAL</t>
  </si>
  <si>
    <t xml:space="preserve"> </t>
  </si>
  <si>
    <t>PUNTAJE</t>
  </si>
  <si>
    <t>PROPONENTE</t>
  </si>
  <si>
    <t>CANTIDAD</t>
  </si>
  <si>
    <t>NO ADMISIBLE</t>
  </si>
  <si>
    <t>ADMISIBLE</t>
  </si>
  <si>
    <t>JERARQUIA</t>
  </si>
  <si>
    <t>No.</t>
  </si>
  <si>
    <t>PROP. No.</t>
  </si>
  <si>
    <t>RECHAZO</t>
  </si>
  <si>
    <t>(%)</t>
  </si>
  <si>
    <t>&lt;0</t>
  </si>
  <si>
    <t>RESULTADO FINAL DEL PROCESO DE EVALUACIÓN</t>
  </si>
  <si>
    <t>CALIFICACIÓN OBTENIDA</t>
  </si>
  <si>
    <t>PUNTAJES OTORGADOS A LOS SIGUIENTES CRITERIOS:</t>
  </si>
  <si>
    <t>TOTALES</t>
  </si>
  <si>
    <t>DEPENDENCIAS</t>
  </si>
  <si>
    <t>ID</t>
  </si>
  <si>
    <t>CUADRO No. 1</t>
  </si>
  <si>
    <t>CUADRO No. 3</t>
  </si>
  <si>
    <t>DETERMINACIÓN DEL PUNTAJE POR VALOR DE LA PROPUESTA</t>
  </si>
  <si>
    <t>PROPUESTA ECONÓMICA</t>
  </si>
  <si>
    <t>($)</t>
  </si>
  <si>
    <t>PORCENTAJE DE MEJORA</t>
  </si>
  <si>
    <t>RESULTADO</t>
  </si>
  <si>
    <t>CUADRO No. 4</t>
  </si>
  <si>
    <t>PROPUESTA NUMERO</t>
  </si>
  <si>
    <t>RESÚMEN DE LA PONDERACIÓN OTORGADA</t>
  </si>
  <si>
    <t>Precio</t>
  </si>
  <si>
    <t>PUNTAJE DEFINITIVO</t>
  </si>
  <si>
    <t>CIFRA DE AJUSTE</t>
  </si>
  <si>
    <t>CUADRO No. 5</t>
  </si>
  <si>
    <t>ORDEN DE ELEGIBILIDAD</t>
  </si>
  <si>
    <t>CONSECUTIVO</t>
  </si>
  <si>
    <t>NOTAS ACLARATORIAS PARA RECHAZO DE LA PROPUESTA ECONÓMICA</t>
  </si>
  <si>
    <t>TOTAL</t>
  </si>
  <si>
    <t>VR PARCIAL
(1)</t>
  </si>
  <si>
    <t>Determinación del Método para la Ponderación de la Propuesta Económica</t>
  </si>
  <si>
    <t xml:space="preserve">Valor = </t>
  </si>
  <si>
    <t>CENTESIMAS =</t>
  </si>
  <si>
    <t>Parámetros para la ponderación de la propuesta económica</t>
  </si>
  <si>
    <t>Número de propuestas válidas</t>
  </si>
  <si>
    <t>Puntaje propuesta Económica</t>
  </si>
  <si>
    <t>Media artimética (X)</t>
  </si>
  <si>
    <r>
      <t>Media artimética alta (X</t>
    </r>
    <r>
      <rPr>
        <b/>
        <sz val="6"/>
        <rFont val="Arial"/>
        <family val="2"/>
      </rPr>
      <t>A</t>
    </r>
    <r>
      <rPr>
        <b/>
        <sz val="8"/>
        <rFont val="Arial"/>
        <family val="2"/>
      </rPr>
      <t>)</t>
    </r>
  </si>
  <si>
    <t>Mínimo</t>
  </si>
  <si>
    <t>Máximo</t>
  </si>
  <si>
    <t>CON RESPECTO A M1</t>
  </si>
  <si>
    <t>CON RESPECTO A M2</t>
  </si>
  <si>
    <t>CON RESPECTO A M3</t>
  </si>
  <si>
    <t>CON RESPECTO A M4</t>
  </si>
  <si>
    <t>CON RESPECTO A PO</t>
  </si>
  <si>
    <t>Media Aritmética =X</t>
  </si>
  <si>
    <t>Mediana= Me</t>
  </si>
  <si>
    <t>Desviación estándar =S</t>
  </si>
  <si>
    <t>Presupuesto Oficial</t>
  </si>
  <si>
    <t>1. Media Aritmética</t>
  </si>
  <si>
    <t>2. Media Aritmética Alta</t>
  </si>
  <si>
    <t>Estadistico usado para ponderar :</t>
  </si>
  <si>
    <t>(Puntos)</t>
  </si>
  <si>
    <t>PONDERACIÓN</t>
  </si>
  <si>
    <t>Estado de la Ponderación</t>
  </si>
  <si>
    <t>Indicador</t>
  </si>
  <si>
    <t>Cantidad</t>
  </si>
  <si>
    <t>Número total de propuestas descartadas</t>
  </si>
  <si>
    <t>Número de propuestas superiores al estadistico de ponderación</t>
  </si>
  <si>
    <t>Número de propuestas inferiores o iguales al estadistico de ponderación</t>
  </si>
  <si>
    <t>Descuento de la propuesta con mayor ponderación</t>
  </si>
  <si>
    <t>Propuesta con mayor ponderación</t>
  </si>
  <si>
    <t>Número propuesta con mayor ponderación</t>
  </si>
  <si>
    <t>Apoyo a la industria nacional</t>
  </si>
  <si>
    <t>MÉTODO DE PONDERACIÓN =</t>
  </si>
  <si>
    <r>
      <t>Producto (1x10</t>
    </r>
    <r>
      <rPr>
        <b/>
        <vertAlign val="superscript"/>
        <sz val="9"/>
        <rFont val="Arial"/>
        <family val="2"/>
      </rPr>
      <t>9</t>
    </r>
    <r>
      <rPr>
        <b/>
        <sz val="10"/>
        <rFont val="Arial"/>
        <family val="2"/>
      </rPr>
      <t>)</t>
    </r>
  </si>
  <si>
    <r>
      <t>Po</t>
    </r>
    <r>
      <rPr>
        <b/>
        <vertAlign val="superscript"/>
        <sz val="9"/>
        <rFont val="Arial"/>
        <family val="2"/>
      </rPr>
      <t>nv</t>
    </r>
    <r>
      <rPr>
        <b/>
        <sz val="9"/>
        <rFont val="Arial"/>
        <family val="2"/>
      </rPr>
      <t>(1x10</t>
    </r>
    <r>
      <rPr>
        <b/>
        <vertAlign val="superscript"/>
        <sz val="9"/>
        <rFont val="Arial"/>
        <family val="2"/>
      </rPr>
      <t>9</t>
    </r>
    <r>
      <rPr>
        <b/>
        <sz val="9"/>
        <rFont val="Arial"/>
        <family val="2"/>
      </rPr>
      <t>)</t>
    </r>
  </si>
  <si>
    <r>
      <t>($1x10</t>
    </r>
    <r>
      <rPr>
        <b/>
        <vertAlign val="superscript"/>
        <sz val="11"/>
        <rFont val="Arial"/>
        <family val="2"/>
      </rPr>
      <t>9</t>
    </r>
    <r>
      <rPr>
        <b/>
        <sz val="11"/>
        <rFont val="Arial"/>
        <family val="2"/>
      </rPr>
      <t>)</t>
    </r>
  </si>
  <si>
    <t>PROPONENTE NÚMERO</t>
  </si>
  <si>
    <t>NOMBRE PROPONENTE</t>
  </si>
  <si>
    <t>Número Propuesta</t>
  </si>
  <si>
    <t>Orden</t>
  </si>
  <si>
    <t>NOTAS ACLARATORIAS DE LA PROPUESTA ECONÓMICA</t>
  </si>
  <si>
    <t>CUADRO No. 2 - VERIFICACIÓN DE LAS PROPUESTAS ECONÓNICAS</t>
  </si>
  <si>
    <t>Último Método Utilizado</t>
  </si>
  <si>
    <t>MÉTODOS DE EVALUACIÓN</t>
  </si>
  <si>
    <t>MEDIA ARITMÉTICA</t>
  </si>
  <si>
    <t>MEDIA ARITMÉTICA ALTA</t>
  </si>
  <si>
    <t>NO APLICA</t>
  </si>
  <si>
    <t>TRM DEL DÍA DE LA INSTALACIÓN DE LA AUDIENCIA DE ASIGNACIÓN DE PUNTAJE</t>
  </si>
  <si>
    <t>NO MODIFICAR</t>
  </si>
  <si>
    <t>ADMINISTRACIÓN</t>
  </si>
  <si>
    <t>IMPREVISTOS</t>
  </si>
  <si>
    <t>UTILIDAD</t>
  </si>
  <si>
    <t>900.2</t>
  </si>
  <si>
    <t>DESCRIPCIÓN</t>
  </si>
  <si>
    <t>610.1</t>
  </si>
  <si>
    <t>630.6</t>
  </si>
  <si>
    <t>640.1</t>
  </si>
  <si>
    <t>673.2</t>
  </si>
  <si>
    <t>m3</t>
  </si>
  <si>
    <t>m2</t>
  </si>
  <si>
    <t>kg</t>
  </si>
  <si>
    <t>FIDUPREVISORA</t>
  </si>
  <si>
    <t>PATRIMONIO AUTÓNOMO FIDEICOMISO ECOPETROL ZOMAC (en adelante PATRIMONIO AUTÓNOMO) FIDUCIARIA LA PREVISORA S.A.</t>
  </si>
  <si>
    <t>ÍTEM DE PAGO</t>
  </si>
  <si>
    <t>310.1</t>
  </si>
  <si>
    <t>420.2</t>
  </si>
  <si>
    <t>610.2</t>
  </si>
  <si>
    <t>610.3</t>
  </si>
  <si>
    <t>671.2</t>
  </si>
  <si>
    <t>681.1</t>
  </si>
  <si>
    <t>700.1</t>
  </si>
  <si>
    <t>900.1</t>
  </si>
  <si>
    <t>ml</t>
  </si>
  <si>
    <t>m3-E</t>
  </si>
  <si>
    <t>TOTAL AIU</t>
  </si>
  <si>
    <t>IVA SOBRE LA UTILIDAD</t>
  </si>
  <si>
    <t>REVISIÓN Y/O AJUSTE Y/O ACTUALIZACIÓN Y/O MODIFICACIÓN Y/O COMPLEMENTACIÓN Y/O ELABORACION DE ESTUDIOS Y DISEÑOS PARA CONSTRUCCIÓN DE CARRETERAS INCLUIDO IVA</t>
  </si>
  <si>
    <t>No. de Proyectos del Proceso</t>
  </si>
  <si>
    <t>VALOR PROPUESTA ECONÓMICA CORREGIDA</t>
  </si>
  <si>
    <t>VALOR PROPUESTA ECONÓMICA</t>
  </si>
  <si>
    <t>LICITACIÓN PRIVADA ABIERTA N° 006 DE 2018</t>
  </si>
  <si>
    <t>PROYECTO No. 1: MEJORAMIENTO VÍA EL PAUJIL - CARTAGENA DEL CHAIRÁ; ETAPA 2 DEPARTAMENTO DEL CAQUETÁ VINCULADOS AL CONTRIBUYENTE ECOPETROL S.A. DENTRO DEL MARCO MECANISMO DE OBRAS POR IMPUESTO</t>
  </si>
  <si>
    <t>3. Media Geométrica con presupuesto estimado</t>
  </si>
  <si>
    <t>Número de veces que se debe incluir el PE = nv</t>
  </si>
  <si>
    <t>Media geométrica con presupuesto estimado aproximado a números enteros = Mgpo</t>
  </si>
  <si>
    <t>MEDIA GEOMÉTRICA CON PRESUPUESTO ESTIMADO</t>
  </si>
  <si>
    <t>COSTO UNITARIO</t>
  </si>
  <si>
    <t>CU vs PE</t>
  </si>
  <si>
    <t>EXPLANACIONES</t>
  </si>
  <si>
    <t>AFIRMADOS, SUB BASES Y BASES</t>
  </si>
  <si>
    <t>PAVIMENTOS ASFÁLTICOS</t>
  </si>
  <si>
    <t>ESTRUCTURAS Y DRENAJES</t>
  </si>
  <si>
    <t>SEÑALIZACIÓN Y SEGURIDAD</t>
  </si>
  <si>
    <t>OBRAS VARIAS</t>
  </si>
  <si>
    <t>TRANSPORTE</t>
  </si>
  <si>
    <t>200.1</t>
  </si>
  <si>
    <t>201.7</t>
  </si>
  <si>
    <t>201.15</t>
  </si>
  <si>
    <t>201.16</t>
  </si>
  <si>
    <t>210.1.1</t>
  </si>
  <si>
    <t>210.1.2</t>
  </si>
  <si>
    <t>211.1</t>
  </si>
  <si>
    <t>220.1</t>
  </si>
  <si>
    <t>221.1</t>
  </si>
  <si>
    <t>230.1</t>
  </si>
  <si>
    <t>231.1</t>
  </si>
  <si>
    <t>233.10</t>
  </si>
  <si>
    <t>311.1</t>
  </si>
  <si>
    <t>320.1</t>
  </si>
  <si>
    <t>330.1</t>
  </si>
  <si>
    <t>450.2P</t>
  </si>
  <si>
    <t>600.1.1</t>
  </si>
  <si>
    <t>610.4</t>
  </si>
  <si>
    <t>610.5</t>
  </si>
  <si>
    <t>621.1P</t>
  </si>
  <si>
    <t>630.3.1</t>
  </si>
  <si>
    <t>630.3.2</t>
  </si>
  <si>
    <t>630.3.3</t>
  </si>
  <si>
    <t>630.4.1</t>
  </si>
  <si>
    <t>630.4.2.1</t>
  </si>
  <si>
    <t>630.4.2.2</t>
  </si>
  <si>
    <t>630.4.3</t>
  </si>
  <si>
    <t>630.5</t>
  </si>
  <si>
    <t>642.1</t>
  </si>
  <si>
    <t>650.2P</t>
  </si>
  <si>
    <t>663.1P</t>
  </si>
  <si>
    <t>663.2P</t>
  </si>
  <si>
    <t>670.5</t>
  </si>
  <si>
    <t>672.1</t>
  </si>
  <si>
    <t>673.1.1P</t>
  </si>
  <si>
    <t>663.3P</t>
  </si>
  <si>
    <t>673.3</t>
  </si>
  <si>
    <t>701.1.</t>
  </si>
  <si>
    <t>701.2</t>
  </si>
  <si>
    <t>710.1.1</t>
  </si>
  <si>
    <t>710.1.2</t>
  </si>
  <si>
    <t>710.1.3</t>
  </si>
  <si>
    <t>710.1.4</t>
  </si>
  <si>
    <t>710.1.5</t>
  </si>
  <si>
    <t>720.1</t>
  </si>
  <si>
    <t>730.1</t>
  </si>
  <si>
    <t>730.2</t>
  </si>
  <si>
    <t>740.1</t>
  </si>
  <si>
    <t>741.1</t>
  </si>
  <si>
    <t>800.1</t>
  </si>
  <si>
    <t>810.1</t>
  </si>
  <si>
    <t>900.3</t>
  </si>
  <si>
    <t>900.4.1P</t>
  </si>
  <si>
    <t>Desmonte y limpieza</t>
  </si>
  <si>
    <t>Ha</t>
  </si>
  <si>
    <t>Demolición de Estructuras</t>
  </si>
  <si>
    <t>Remoción de alcantarillas.</t>
  </si>
  <si>
    <t>m</t>
  </si>
  <si>
    <t>Remoción de cercas de alambre.</t>
  </si>
  <si>
    <t>Excavación sin clasificar de la explanación y canales.</t>
  </si>
  <si>
    <t>Excavación sin clasificar de préstamos.</t>
  </si>
  <si>
    <t>Remoción de derrumbes</t>
  </si>
  <si>
    <t>Terraplenes</t>
  </si>
  <si>
    <t>Pedraplén compacto</t>
  </si>
  <si>
    <t>Mejoramiento de la subrasante empleando únicamente material adicionado.</t>
  </si>
  <si>
    <t>Geotextil para separación de suelos de subrasante y capas granulares.</t>
  </si>
  <si>
    <t>Geomalla para refuerzo de capas granulares</t>
  </si>
  <si>
    <t>Conformación de la calzada existente.</t>
  </si>
  <si>
    <t>Afirmado</t>
  </si>
  <si>
    <t>Sub-base Granular clase A</t>
  </si>
  <si>
    <t>Base Granular clase A</t>
  </si>
  <si>
    <t>Riego de liga con emulsión asfáltica CRL-1</t>
  </si>
  <si>
    <t>Mezcla densa en caliente tipo MDC-19</t>
  </si>
  <si>
    <t>Excavaciones varias sin clasificar</t>
  </si>
  <si>
    <t>Rellenos para estructuras con material seleccionado</t>
  </si>
  <si>
    <t>Rellenos Para Estructuras con Material friccionante</t>
  </si>
  <si>
    <t>Relleno Para Estructuras con Material Granular Tipo SBG</t>
  </si>
  <si>
    <t>Relleno Para Estructuras con Material Granular Tipo BG</t>
  </si>
  <si>
    <t>Relleno Para Estructuras con Material Filtrante</t>
  </si>
  <si>
    <t>Pilote de concreto vaciado in situ de diámetro 0,80 m</t>
  </si>
  <si>
    <t>Concreto Clase C (f´c: 28 MPa) para Tableros</t>
  </si>
  <si>
    <t>Concreto Clase C (f´c: 28 MPa) para Vigas Superestructura</t>
  </si>
  <si>
    <t>Concreto Clase C (f´c: 28 MPa) para Losa de aproximación</t>
  </si>
  <si>
    <t>Concreto Clase D (f´c:21 MPa) para Vigas cabezal (subestructura), vigas de apoyo y diafragmas</t>
  </si>
  <si>
    <t>Concreto Clase D (f´c:21 MPa) para Estructuras (Espaldar)</t>
  </si>
  <si>
    <t>Concreto Clase D (f´c:21 MPa) para Estructuras (Muros, Aletas, Estructuras de Encole y descole)</t>
  </si>
  <si>
    <t>Concreto Clase D (f´c:21 MPa) para Estructuras de protección de estribos</t>
  </si>
  <si>
    <t>Concreto Clase E (f´c: 17,5 Mpa) para Caja de recolección de aguas de subdrenaje (Dim. Internas 0,9x0,90x1,5 m)</t>
  </si>
  <si>
    <t>Concreto Clase F (f´c:14 MPa) para Solado de Limpieza y Atraque de Tubería</t>
  </si>
  <si>
    <t>Acero de Refuerzo fy= 420 MPa</t>
  </si>
  <si>
    <t>Apoyo elastomérico de 300*300*64mm con lámina de 3 mm Dureza 60</t>
  </si>
  <si>
    <t>u</t>
  </si>
  <si>
    <t>Baranda metálica en Acero A36</t>
  </si>
  <si>
    <t>Tubería de PVC NOVAFORT de diámetro 900 mm</t>
  </si>
  <si>
    <t>Tubería de PVC NOVAFORT de diámetro 1200 mm</t>
  </si>
  <si>
    <t>Disipadores de energía y sedimentadores en concreto ciclópeo</t>
  </si>
  <si>
    <t>Cuneta de concreto vaciada in situ; incluye conformación de la superficie de apoyo</t>
  </si>
  <si>
    <t>Bordillo de concreto vaciado in situ; incluye la preparación de la superficie de apoyo</t>
  </si>
  <si>
    <t>Geodren vial con tubería de drenaje  corrugada de 100 mm de diámetro nominal</t>
  </si>
  <si>
    <t>Tubería de drenaje corrugada de 100 mm de diámetro para descarga en estructura de recolección de aguas de subdrenaje</t>
  </si>
  <si>
    <t>Material granular drenante</t>
  </si>
  <si>
    <t>Material de cobertura tipo Sub-base Granular</t>
  </si>
  <si>
    <t>Gaviones de malla de alambre de acero entrelazado Clase 1.</t>
  </si>
  <si>
    <t>Línea de demarcación con pintura en frío.</t>
  </si>
  <si>
    <t>Tacha retrorreflectiva color amarillo bidireccional roja y blanco, con superficie resistente a la abrasión</t>
  </si>
  <si>
    <t>Tacha retrorreflectiva color blanco monodireccional roja y blanco, con superficie resistente a la abrasión</t>
  </si>
  <si>
    <t>Señal vertical de tránsito preventiva con lámina reflectiva de acero galvanizado cuadrado de 75x75</t>
  </si>
  <si>
    <t>Señal vertical de tránsito reglamentaria con lámina reflectiva de acero galvanizado círculo de 75 cm de diámetro</t>
  </si>
  <si>
    <t>Señal vertical de tránsito informativa tipo SI-05A con lámina reflectiva de acero galvanizado de 145x40</t>
  </si>
  <si>
    <t>Señal vertical de tránsito informativa tipo SI-28 con lámina reflectiva de acero galvanizado de 105,20x35</t>
  </si>
  <si>
    <t>Señal vertical de tránsito informativa tipo SI-06 con lámina reflectiva de acero galvanizado de 140x58</t>
  </si>
  <si>
    <t>Poste de referencia</t>
  </si>
  <si>
    <t>Defensa metálica</t>
  </si>
  <si>
    <t>Sección Final para Defensa Metálica</t>
  </si>
  <si>
    <t>Captafaros</t>
  </si>
  <si>
    <t>Delineadores de Corona</t>
  </si>
  <si>
    <t>Cerca de Alambre de Puas con postes de madera</t>
  </si>
  <si>
    <t>Protección de taludes con tierra orgánica.</t>
  </si>
  <si>
    <t>Transporte de materiales provenientes de la excavación de la explanación, canales y préstamos, entre cien metros(100 m) y mil metros(1.000 m) de distancia. Metro cúbico-Estación.</t>
  </si>
  <si>
    <t>Transporte de materiales provenientes de la excavación de la explanación, canales y préstamos para distancias mayores de mil metros (1.000 m) Metro cúbico-kilómetro.</t>
  </si>
  <si>
    <t>m3-k</t>
  </si>
  <si>
    <t>Transporte de materiales provenientes de derrumbes Metro cúbico-kilómetro. A partir de 100 metros</t>
  </si>
  <si>
    <t>Transporte de materiales granulares para: Pedraplen (EG-Cap. 2), Sub-bases, Bases y Afirmados (EG-Cap. 3), Pavimentos Asfálticos (EG-Cap. 4); Pavimentos de Concreto (EG-Cap. 5); Estructuras y Drenajes (EG-Cap. 6): Rellenos, Concretos, Disipadores en Concreto o Gaviones, Cunetas, Bordillos,  Subdrenes, y Gaviones en carretera.</t>
  </si>
  <si>
    <t>SUBTOTAL DE OBRAS (SIN AIU)</t>
  </si>
  <si>
    <t>SUBTOTAL DE OBRAS CON AIU (SIN IVA)</t>
  </si>
  <si>
    <t>TOTAL DE OBRAS CON AIU E IVA</t>
  </si>
  <si>
    <t>PRESUPUESTO ESTIMADO</t>
  </si>
  <si>
    <t>OBRAS AMBIENTALES DEL PAGA Y GESTIÓN SOCIAL E INMOBILIARIA Y PMT INCLUYE IVA</t>
  </si>
  <si>
    <t>TOTAL DE OBRAS CON AIU, IVA Y GASTOS REEMBOLSABLES</t>
  </si>
  <si>
    <t>MAQUINARIA INGENIERIA CONSTRUCCIÓN Y OBRAS S.A.S</t>
  </si>
  <si>
    <t>CONSORCIO VÍAS PG</t>
  </si>
  <si>
    <t xml:space="preserve">CONSORCIO PUERTA DEL SOL </t>
  </si>
  <si>
    <t>UNIÓN TEMPORAL VÍA PAUCAR II</t>
  </si>
  <si>
    <t>CONSORCIO VÍAS COLOMBIA 006</t>
  </si>
  <si>
    <t>CONSORCIO VÍAS COLOMBIA 2019</t>
  </si>
  <si>
    <t>CONSORCIO RUTA NACIONAL 2018</t>
  </si>
  <si>
    <t xml:space="preserve">CORRECCION ARITMETICA DEBIDO A QUE NO COINCIDE LA OPERACIÓN ARITMETICA DEL PRECIO POR LA CANTIDAD DEL ITEM NO 18 </t>
  </si>
  <si>
    <t>CORRECCION ARITMETICA SOBRE VALORES DE ALGUNOS DE LOS SUBTOTALES DE LOS ÍTEMS DEL PRESUPUESTO.</t>
  </si>
  <si>
    <t>RECHAZADO POR SUPERAR DOS ÍTEMS EL VALOR DEL PRESUPUESTO ESTIMADO</t>
  </si>
  <si>
    <t>CORRECCIÓN ARITMÉTICA SOBRE SUBTOTALES DE ÍTEMS DEL PRESUPUESTO ESTIMADO DEL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</si>
</sst>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1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_-* #,##0.00\ &quot;Pts&quot;_-;\-* #,##0.00\ &quot;Pts&quot;_-;_-* &quot;-&quot;??\ &quot;Pts&quot;_-;_-@_-"/>
    <numFmt numFmtId="169" formatCode="_-* #,##0.00\ _P_t_s_-;\-* #,##0.00\ _P_t_s_-;_-* &quot;-&quot;??\ _P_t_s_-;_-@_-"/>
    <numFmt numFmtId="170" formatCode="#,##0.0"/>
    <numFmt numFmtId="171" formatCode="#,##0.00;[Red]#,##0.00"/>
    <numFmt numFmtId="172" formatCode="&quot;NN&quot;\ 0"/>
    <numFmt numFmtId="173" formatCode="&quot;VALOR PARA EL CONTRATO=$&quot;\ #,##0.00"/>
    <numFmt numFmtId="174" formatCode="#,##0&quot;º&quot;"/>
    <numFmt numFmtId="175" formatCode="0.0000000"/>
    <numFmt numFmtId="176" formatCode="_ [$€-2]\ * #,##0.00_ ;_ [$€-2]\ * \-#,##0.00_ ;_ [$€-2]\ * &quot;-&quot;??_ "/>
    <numFmt numFmtId="177" formatCode="_(* #,##0_);_(* \(#,##0\);_(* &quot;-&quot;??_);_(@_)"/>
    <numFmt numFmtId="178" formatCode="0.0000E+00"/>
    <numFmt numFmtId="179" formatCode="_([$$-240A]\ * #,##0.00_);_([$$-240A]\ * \(#,##0.00\);_([$$-240A]\ * &quot;-&quot;??_);_(@_)"/>
    <numFmt numFmtId="180" formatCode="0.000000000000000E+00"/>
    <numFmt numFmtId="181" formatCode="_-* #,##0\ _P_t_s_-;\-* #,##0\ _P_t_s_-;_-* &quot;-&quot;??\ _P_t_s_-;_-@_-"/>
    <numFmt numFmtId="182" formatCode="0.0000000000000"/>
    <numFmt numFmtId="183" formatCode="0.000000000000E+00"/>
    <numFmt numFmtId="184" formatCode="0.000E+00"/>
    <numFmt numFmtId="185" formatCode="##0"/>
    <numFmt numFmtId="186" formatCode="0.000"/>
    <numFmt numFmtId="187" formatCode="0.0000"/>
    <numFmt numFmtId="188" formatCode="0.00%;\-0.00%;&quot;&quot;"/>
    <numFmt numFmtId="189" formatCode="&quot;$&quot;#,##0\ ;\(&quot;$&quot;#,##0\)"/>
    <numFmt numFmtId="190" formatCode="\(0%\)"/>
    <numFmt numFmtId="191" formatCode="d\ \d\e\ mmmm\ \d\e\ yyyy"/>
    <numFmt numFmtId="192" formatCode="000\°00&quot;´&quot;00&quot;´´&quot;"/>
    <numFmt numFmtId="193" formatCode="0%;\-0%;&quot;&quot;"/>
    <numFmt numFmtId="194" formatCode="#0&quot;.&quot;000&quot;´&quot;000&quot;.&quot;000"/>
    <numFmt numFmtId="195" formatCode="##0&quot;.&quot;000"/>
    <numFmt numFmtId="196" formatCode="&quot;$&quot;\ #,##0.00"/>
    <numFmt numFmtId="197" formatCode="#,##0.0000"/>
    <numFmt numFmtId="198" formatCode="_-* #,##0.00\ _€_-;\-* #,##0.00\ _€_-;_-* &quot;-&quot;??\ _€_-;_-@_-"/>
    <numFmt numFmtId="199" formatCode="_-* #,##0.00\ _P_t_a_-;\-* #,##0.00\ _P_t_a_-;_-* &quot;-&quot;??\ _P_t_a_-;_-@_-"/>
    <numFmt numFmtId="200" formatCode="_ * #,##0.00_ ;_ * \-#,##0.00_ ;_ * &quot;-&quot;??_ ;_ @_ "/>
    <numFmt numFmtId="201" formatCode="##0&quot;´&quot;000&quot;.&quot;000"/>
    <numFmt numFmtId="202" formatCode="[$$-240A]\ #,##0.00"/>
    <numFmt numFmtId="203" formatCode="_ &quot;$&quot;* #,##0.00_ ;_ &quot;$&quot;* \-#,##0.00_ ;_ &quot;$&quot;* &quot;-&quot;??_ ;_ @_ "/>
    <numFmt numFmtId="204" formatCode="#.##\ \K\g"/>
    <numFmt numFmtId="205" formatCode="_(* #,##0.0_);_(* \(#,##0.0\);_(* &quot;-&quot;??_);_(@_)"/>
    <numFmt numFmtId="206" formatCode="#0&quot;.&quot;"/>
    <numFmt numFmtId="207" formatCode="0.0%;\-0.0%;&quot;&quot;"/>
    <numFmt numFmtId="208" formatCode="_([$€]* #,##0.00_);_([$€]* \(#,##0.00\);_([$€]* &quot;-&quot;??_);_(@_)"/>
    <numFmt numFmtId="209" formatCode="&quot;$&quot;\ #,##0.00;&quot;$&quot;\ \-#,##0.00"/>
    <numFmt numFmtId="210" formatCode="0\+000"/>
    <numFmt numFmtId="211" formatCode="#,##0.0000000"/>
    <numFmt numFmtId="212" formatCode="0.0000%"/>
    <numFmt numFmtId="213" formatCode="0.000000000000000"/>
    <numFmt numFmtId="214" formatCode="0.000%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sz val="22"/>
      <name val="Arial"/>
      <family val="2"/>
    </font>
    <font>
      <b/>
      <sz val="14"/>
      <color indexed="10"/>
      <name val="Times New Roman"/>
      <family val="1"/>
    </font>
    <font>
      <sz val="10"/>
      <color indexed="8"/>
      <name val="Arial"/>
      <family val="2"/>
    </font>
    <font>
      <b/>
      <sz val="8"/>
      <color indexed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6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17"/>
      <name val="Calibri"/>
      <family val="2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20"/>
      <name val="Arial"/>
      <family val="2"/>
    </font>
    <font>
      <b/>
      <sz val="12"/>
      <color rgb="FFFF0000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229">
    <xf numFmtId="0" fontId="0" fillId="0" borderId="0"/>
    <xf numFmtId="0" fontId="23" fillId="0" borderId="0">
      <alignment vertical="top"/>
    </xf>
    <xf numFmtId="17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2" fontId="3" fillId="0" borderId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4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8" borderId="0" applyNumberFormat="0" applyBorder="0" applyAlignment="0" applyProtection="0"/>
    <xf numFmtId="0" fontId="35" fillId="12" borderId="0" applyNumberFormat="0" applyBorder="0" applyAlignment="0" applyProtection="0"/>
    <xf numFmtId="0" fontId="36" fillId="29" borderId="99" applyNumberFormat="0" applyAlignment="0" applyProtection="0"/>
    <xf numFmtId="0" fontId="37" fillId="30" borderId="100" applyNumberFormat="0" applyAlignment="0" applyProtection="0"/>
    <xf numFmtId="185" fontId="9" fillId="0" borderId="89">
      <alignment horizontal="right"/>
    </xf>
    <xf numFmtId="2" fontId="9" fillId="0" borderId="0"/>
    <xf numFmtId="186" fontId="9" fillId="0" borderId="0"/>
    <xf numFmtId="187" fontId="8" fillId="0" borderId="0"/>
    <xf numFmtId="185" fontId="9" fillId="0" borderId="89">
      <alignment horizontal="right"/>
    </xf>
    <xf numFmtId="181" fontId="3" fillId="0" borderId="0">
      <protection locked="0"/>
    </xf>
    <xf numFmtId="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88" fontId="3" fillId="0" borderId="0">
      <protection locked="0"/>
    </xf>
    <xf numFmtId="189" fontId="38" fillId="0" borderId="0" applyFont="0" applyFill="0" applyBorder="0" applyAlignment="0" applyProtection="0"/>
    <xf numFmtId="190" fontId="3" fillId="0" borderId="0">
      <protection locked="0"/>
    </xf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9" borderId="0" applyNumberFormat="0" applyBorder="0" applyAlignment="0" applyProtection="0"/>
    <xf numFmtId="0" fontId="34" fillId="37" borderId="0" applyNumberFormat="0" applyBorder="0" applyAlignment="0" applyProtection="0"/>
    <xf numFmtId="0" fontId="33" fillId="34" borderId="0" applyNumberFormat="0" applyBorder="0" applyAlignment="0" applyProtection="0"/>
    <xf numFmtId="0" fontId="33" fillId="37" borderId="0" applyNumberFormat="0" applyBorder="0" applyAlignment="0" applyProtection="0"/>
    <xf numFmtId="0" fontId="34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34" borderId="0" applyNumberFormat="0" applyBorder="0" applyAlignment="0" applyProtection="0"/>
    <xf numFmtId="0" fontId="34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41" borderId="0" applyNumberFormat="0" applyBorder="0" applyAlignment="0" applyProtection="0"/>
    <xf numFmtId="0" fontId="34" fillId="41" borderId="0" applyNumberForma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" fontId="42" fillId="0" borderId="0">
      <protection locked="0"/>
    </xf>
    <xf numFmtId="4" fontId="42" fillId="0" borderId="0">
      <protection locked="0"/>
    </xf>
    <xf numFmtId="4" fontId="43" fillId="0" borderId="0">
      <protection locked="0"/>
    </xf>
    <xf numFmtId="4" fontId="42" fillId="0" borderId="0">
      <protection locked="0"/>
    </xf>
    <xf numFmtId="4" fontId="42" fillId="0" borderId="0">
      <protection locked="0"/>
    </xf>
    <xf numFmtId="4" fontId="42" fillId="0" borderId="0">
      <protection locked="0"/>
    </xf>
    <xf numFmtId="4" fontId="43" fillId="0" borderId="0">
      <protection locked="0"/>
    </xf>
    <xf numFmtId="191" fontId="3" fillId="0" borderId="0">
      <protection locked="0"/>
    </xf>
    <xf numFmtId="0" fontId="44" fillId="13" borderId="0" applyNumberFormat="0" applyBorder="0" applyAlignment="0" applyProtection="0"/>
    <xf numFmtId="192" fontId="3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01" applyNumberFormat="0" applyFill="0" applyAlignment="0" applyProtection="0"/>
    <xf numFmtId="0" fontId="47" fillId="0" borderId="0" applyNumberFormat="0" applyFill="0" applyBorder="0" applyAlignment="0" applyProtection="0"/>
    <xf numFmtId="193" fontId="3" fillId="0" borderId="0">
      <protection locked="0"/>
    </xf>
    <xf numFmtId="193" fontId="3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16" borderId="99" applyNumberFormat="0" applyAlignment="0" applyProtection="0"/>
    <xf numFmtId="0" fontId="50" fillId="0" borderId="102" applyNumberFormat="0" applyFill="0" applyAlignment="0" applyProtection="0"/>
    <xf numFmtId="194" fontId="9" fillId="0" borderId="0">
      <alignment horizontal="right"/>
    </xf>
    <xf numFmtId="195" fontId="9" fillId="0" borderId="0" applyFont="0" applyFill="0" applyBorder="0" applyAlignment="0">
      <alignment horizontal="center"/>
    </xf>
    <xf numFmtId="164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5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201" fontId="9" fillId="0" borderId="0">
      <alignment horizontal="right"/>
    </xf>
    <xf numFmtId="202" fontId="9" fillId="0" borderId="55"/>
    <xf numFmtId="203" fontId="3" fillId="0" borderId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3" fillId="0" borderId="0" applyFont="0" applyFill="0" applyBorder="0" applyAlignment="0" applyProtection="0"/>
    <xf numFmtId="20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06" fontId="9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" fillId="0" borderId="0" applyFont="0" applyFill="0" applyBorder="0" applyAlignment="0" applyProtection="0"/>
    <xf numFmtId="0" fontId="3" fillId="0" borderId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/>
    <xf numFmtId="0" fontId="33" fillId="42" borderId="103" applyNumberFormat="0" applyFont="0" applyAlignment="0" applyProtection="0"/>
    <xf numFmtId="0" fontId="52" fillId="29" borderId="104" applyNumberFormat="0" applyAlignment="0" applyProtection="0"/>
    <xf numFmtId="0" fontId="39" fillId="0" borderId="0"/>
    <xf numFmtId="207" fontId="3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9" fontId="6" fillId="0" borderId="0">
      <alignment horizontal="center"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208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20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0" fontId="33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209" fontId="3" fillId="0" borderId="0" applyFont="0" applyFill="0" applyBorder="0" applyAlignment="0" applyProtection="0"/>
    <xf numFmtId="0" fontId="2" fillId="0" borderId="0"/>
    <xf numFmtId="0" fontId="2" fillId="0" borderId="0"/>
    <xf numFmtId="9" fontId="57" fillId="0" borderId="0" applyFont="0" applyFill="0" applyBorder="0" applyAlignment="0" applyProtection="0"/>
  </cellStyleXfs>
  <cellXfs count="438">
    <xf numFmtId="0" fontId="0" fillId="0" borderId="0" xfId="0"/>
    <xf numFmtId="0" fontId="4" fillId="0" borderId="0" xfId="0" applyFont="1" applyAlignment="1" applyProtection="1">
      <alignment horizontal="centerContinuous" vertical="center" wrapText="1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Continuous" vertical="center" wrapText="1"/>
      <protection hidden="1"/>
    </xf>
    <xf numFmtId="0" fontId="6" fillId="0" borderId="0" xfId="0" applyFont="1" applyAlignment="1" applyProtection="1">
      <alignment horizontal="centerContinuous" vertical="center" wrapText="1"/>
      <protection hidden="1"/>
    </xf>
    <xf numFmtId="0" fontId="7" fillId="0" borderId="0" xfId="0" applyFont="1" applyAlignment="1" applyProtection="1">
      <alignment horizontal="centerContinuous" vertical="center" wrapText="1"/>
      <protection hidden="1"/>
    </xf>
    <xf numFmtId="0" fontId="10" fillId="0" borderId="0" xfId="0" applyFont="1" applyAlignment="1" applyProtection="1">
      <alignment horizontal="centerContinuous" vertical="center" wrapText="1"/>
      <protection hidden="1"/>
    </xf>
    <xf numFmtId="0" fontId="10" fillId="0" borderId="0" xfId="0" applyFont="1" applyAlignme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7" fillId="0" borderId="0" xfId="0" applyFont="1" applyFill="1" applyAlignment="1" applyProtection="1">
      <alignment horizontal="centerContinuous" vertical="center" wrapText="1"/>
      <protection hidden="1"/>
    </xf>
    <xf numFmtId="0" fontId="13" fillId="0" borderId="0" xfId="0" applyFont="1" applyFill="1" applyAlignment="1" applyProtection="1">
      <alignment horizontal="centerContinuous" vertical="center" wrapText="1"/>
      <protection hidden="1"/>
    </xf>
    <xf numFmtId="0" fontId="14" fillId="0" borderId="0" xfId="0" applyFont="1" applyFill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Continuous" vertical="center" wrapText="1"/>
      <protection hidden="1"/>
    </xf>
    <xf numFmtId="0" fontId="9" fillId="0" borderId="0" xfId="0" applyFont="1" applyFill="1" applyAlignment="1" applyProtection="1">
      <alignment horizontal="centerContinuous" vertical="center" wrapText="1"/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Continuous" vertical="center" wrapText="1"/>
      <protection hidden="1"/>
    </xf>
    <xf numFmtId="0" fontId="9" fillId="0" borderId="0" xfId="0" applyFont="1" applyFill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quotePrefix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Fill="1" applyAlignment="1" applyProtection="1">
      <alignment horizontal="centerContinuous" vertical="center"/>
      <protection hidden="1"/>
    </xf>
    <xf numFmtId="0" fontId="9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left" vertical="center"/>
      <protection hidden="1"/>
    </xf>
    <xf numFmtId="1" fontId="20" fillId="0" borderId="0" xfId="0" applyNumberFormat="1" applyFont="1" applyFill="1" applyAlignment="1" applyProtection="1">
      <alignment horizontal="centerContinuous" vertical="center" wrapText="1"/>
      <protection hidden="1"/>
    </xf>
    <xf numFmtId="1" fontId="22" fillId="0" borderId="0" xfId="0" applyNumberFormat="1" applyFont="1" applyFill="1" applyAlignment="1" applyProtection="1">
      <alignment horizontal="centerContinuous" vertical="center" wrapText="1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protection hidden="1"/>
    </xf>
    <xf numFmtId="0" fontId="19" fillId="0" borderId="0" xfId="0" applyFont="1" applyFill="1" applyAlignment="1" applyProtection="1">
      <protection hidden="1"/>
    </xf>
    <xf numFmtId="0" fontId="19" fillId="0" borderId="0" xfId="0" quotePrefix="1" applyFont="1" applyFill="1" applyAlignment="1" applyProtection="1">
      <alignment vertical="center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Continuous" vertical="center" wrapText="1"/>
      <protection locked="0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3" fillId="2" borderId="0" xfId="12" applyFont="1" applyFill="1" applyAlignment="1">
      <alignment horizontal="left" vertical="top" wrapText="1"/>
    </xf>
    <xf numFmtId="0" fontId="3" fillId="2" borderId="0" xfId="12" applyFont="1" applyFill="1" applyAlignment="1">
      <alignment wrapText="1"/>
    </xf>
    <xf numFmtId="0" fontId="3" fillId="2" borderId="0" xfId="12" applyFont="1" applyFill="1"/>
    <xf numFmtId="0" fontId="5" fillId="2" borderId="0" xfId="12" applyFont="1" applyFill="1" applyAlignment="1">
      <alignment horizontal="centerContinuous" vertical="center" wrapText="1"/>
    </xf>
    <xf numFmtId="0" fontId="3" fillId="2" borderId="0" xfId="12" applyFont="1" applyFill="1" applyAlignment="1">
      <alignment horizontal="center" vertical="center"/>
    </xf>
    <xf numFmtId="10" fontId="3" fillId="2" borderId="0" xfId="12" applyNumberFormat="1" applyFont="1" applyFill="1"/>
    <xf numFmtId="0" fontId="8" fillId="2" borderId="3" xfId="12" applyFont="1" applyFill="1" applyBorder="1" applyAlignment="1">
      <alignment horizontal="center" vertical="center"/>
    </xf>
    <xf numFmtId="1" fontId="16" fillId="0" borderId="0" xfId="12" applyNumberFormat="1" applyFont="1" applyAlignment="1">
      <alignment horizontal="centerContinuous" vertical="center" wrapText="1"/>
    </xf>
    <xf numFmtId="1" fontId="6" fillId="0" borderId="0" xfId="12" applyNumberFormat="1" applyFont="1" applyAlignment="1">
      <alignment horizontal="centerContinuous" vertical="center" wrapText="1"/>
    </xf>
    <xf numFmtId="0" fontId="6" fillId="0" borderId="0" xfId="12" applyFont="1" applyAlignment="1">
      <alignment horizontal="centerContinuous" vertical="center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6" fillId="0" borderId="6" xfId="11" applyFont="1" applyBorder="1" applyAlignment="1" applyProtection="1">
      <alignment horizontal="center"/>
      <protection hidden="1"/>
    </xf>
    <xf numFmtId="0" fontId="6" fillId="0" borderId="7" xfId="11" applyFont="1" applyBorder="1" applyAlignment="1" applyProtection="1">
      <alignment horizontal="center"/>
      <protection hidden="1"/>
    </xf>
    <xf numFmtId="0" fontId="6" fillId="0" borderId="8" xfId="11" applyFont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25" fillId="5" borderId="15" xfId="11" applyFont="1" applyFill="1" applyBorder="1"/>
    <xf numFmtId="0" fontId="25" fillId="5" borderId="16" xfId="11" applyFont="1" applyFill="1" applyBorder="1"/>
    <xf numFmtId="0" fontId="3" fillId="0" borderId="17" xfId="11" applyBorder="1"/>
    <xf numFmtId="0" fontId="25" fillId="5" borderId="18" xfId="11" applyFont="1" applyFill="1" applyBorder="1"/>
    <xf numFmtId="0" fontId="3" fillId="0" borderId="19" xfId="11" applyBorder="1"/>
    <xf numFmtId="0" fontId="25" fillId="5" borderId="20" xfId="11" applyFont="1" applyFill="1" applyBorder="1"/>
    <xf numFmtId="0" fontId="3" fillId="0" borderId="21" xfId="11" applyBorder="1"/>
    <xf numFmtId="0" fontId="3" fillId="0" borderId="21" xfId="11" applyFont="1" applyBorder="1"/>
    <xf numFmtId="0" fontId="3" fillId="0" borderId="22" xfId="11" applyFont="1" applyFill="1" applyBorder="1"/>
    <xf numFmtId="0" fontId="10" fillId="0" borderId="23" xfId="0" applyFont="1" applyBorder="1" applyAlignment="1" applyProtection="1">
      <alignment horizontal="center"/>
      <protection hidden="1"/>
    </xf>
    <xf numFmtId="0" fontId="10" fillId="0" borderId="24" xfId="0" applyFont="1" applyBorder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3" fillId="0" borderId="26" xfId="11" applyFont="1" applyFill="1" applyBorder="1"/>
    <xf numFmtId="0" fontId="3" fillId="0" borderId="27" xfId="11" applyFont="1" applyFill="1" applyBorder="1"/>
    <xf numFmtId="0" fontId="3" fillId="0" borderId="28" xfId="11" applyFont="1" applyFill="1" applyBorder="1"/>
    <xf numFmtId="0" fontId="8" fillId="0" borderId="5" xfId="0" applyFont="1" applyBorder="1" applyAlignment="1" applyProtection="1">
      <alignment horizontal="centerContinuous"/>
      <protection hidden="1"/>
    </xf>
    <xf numFmtId="0" fontId="6" fillId="0" borderId="31" xfId="11" applyFont="1" applyBorder="1" applyAlignment="1" applyProtection="1">
      <alignment horizontal="center"/>
      <protection hidden="1"/>
    </xf>
    <xf numFmtId="171" fontId="15" fillId="0" borderId="42" xfId="9" applyNumberFormat="1" applyFont="1" applyFill="1" applyBorder="1" applyAlignment="1" applyProtection="1">
      <alignment vertical="center"/>
      <protection locked="0"/>
    </xf>
    <xf numFmtId="0" fontId="15" fillId="9" borderId="45" xfId="0" applyFont="1" applyFill="1" applyBorder="1" applyAlignment="1" applyProtection="1">
      <alignment horizontal="centerContinuous" vertical="center"/>
      <protection locked="0"/>
    </xf>
    <xf numFmtId="3" fontId="12" fillId="9" borderId="44" xfId="0" applyNumberFormat="1" applyFont="1" applyFill="1" applyBorder="1" applyAlignment="1" applyProtection="1">
      <alignment horizontal="centerContinuous" vertical="center"/>
      <protection locked="0"/>
    </xf>
    <xf numFmtId="0" fontId="8" fillId="2" borderId="0" xfId="12" applyFont="1" applyFill="1" applyBorder="1" applyAlignment="1">
      <alignment vertical="center"/>
    </xf>
    <xf numFmtId="179" fontId="15" fillId="2" borderId="0" xfId="7" applyNumberFormat="1" applyFont="1" applyFill="1" applyBorder="1" applyAlignment="1"/>
    <xf numFmtId="10" fontId="6" fillId="2" borderId="36" xfId="12" applyNumberFormat="1" applyFont="1" applyFill="1" applyBorder="1" applyAlignment="1">
      <alignment horizontal="center" vertical="center" wrapText="1"/>
    </xf>
    <xf numFmtId="10" fontId="6" fillId="2" borderId="60" xfId="12" applyNumberFormat="1" applyFont="1" applyFill="1" applyBorder="1" applyAlignment="1">
      <alignment horizontal="center" vertical="center" wrapText="1"/>
    </xf>
    <xf numFmtId="0" fontId="6" fillId="0" borderId="53" xfId="12" applyFont="1" applyBorder="1" applyAlignment="1">
      <alignment horizontal="left" vertical="center"/>
    </xf>
    <xf numFmtId="0" fontId="6" fillId="0" borderId="54" xfId="12" applyFont="1" applyBorder="1" applyAlignment="1">
      <alignment horizontal="centerContinuous" vertical="center"/>
    </xf>
    <xf numFmtId="0" fontId="6" fillId="2" borderId="54" xfId="12" applyFont="1" applyFill="1" applyBorder="1" applyAlignment="1">
      <alignment horizontal="centerContinuous" vertical="center" wrapText="1"/>
    </xf>
    <xf numFmtId="0" fontId="3" fillId="2" borderId="53" xfId="12" applyFont="1" applyFill="1" applyBorder="1"/>
    <xf numFmtId="0" fontId="6" fillId="0" borderId="56" xfId="12" applyFont="1" applyBorder="1" applyAlignment="1">
      <alignment horizontal="centerContinuous" vertical="center"/>
    </xf>
    <xf numFmtId="0" fontId="6" fillId="0" borderId="57" xfId="12" applyFont="1" applyBorder="1" applyAlignment="1">
      <alignment horizontal="centerContinuous" vertical="center"/>
    </xf>
    <xf numFmtId="0" fontId="6" fillId="2" borderId="57" xfId="12" applyFont="1" applyFill="1" applyBorder="1" applyAlignment="1">
      <alignment horizontal="centerContinuous" vertical="center" wrapText="1"/>
    </xf>
    <xf numFmtId="0" fontId="3" fillId="2" borderId="54" xfId="12" applyFont="1" applyFill="1" applyBorder="1"/>
    <xf numFmtId="0" fontId="3" fillId="0" borderId="54" xfId="12" applyFont="1" applyFill="1" applyBorder="1"/>
    <xf numFmtId="0" fontId="3" fillId="2" borderId="57" xfId="12" applyFont="1" applyFill="1" applyBorder="1"/>
    <xf numFmtId="0" fontId="3" fillId="0" borderId="57" xfId="12" applyFont="1" applyFill="1" applyBorder="1"/>
    <xf numFmtId="0" fontId="6" fillId="0" borderId="54" xfId="12" applyFont="1" applyFill="1" applyBorder="1" applyAlignment="1">
      <alignment horizontal="right" vertical="center"/>
    </xf>
    <xf numFmtId="0" fontId="6" fillId="0" borderId="53" xfId="12" applyFont="1" applyFill="1" applyBorder="1" applyAlignment="1">
      <alignment horizontal="left" vertical="center"/>
    </xf>
    <xf numFmtId="0" fontId="6" fillId="0" borderId="54" xfId="12" applyFont="1" applyFill="1" applyBorder="1" applyAlignment="1">
      <alignment vertical="center"/>
    </xf>
    <xf numFmtId="0" fontId="6" fillId="0" borderId="53" xfId="12" applyFont="1" applyFill="1" applyBorder="1" applyAlignment="1">
      <alignment horizontal="center" vertical="center" wrapText="1"/>
    </xf>
    <xf numFmtId="0" fontId="6" fillId="0" borderId="54" xfId="12" applyFont="1" applyFill="1" applyBorder="1" applyAlignment="1">
      <alignment horizontal="center" vertical="center" wrapText="1"/>
    </xf>
    <xf numFmtId="0" fontId="6" fillId="0" borderId="56" xfId="12" applyFont="1" applyFill="1" applyBorder="1" applyAlignment="1">
      <alignment horizontal="center" vertical="center" wrapText="1"/>
    </xf>
    <xf numFmtId="0" fontId="6" fillId="0" borderId="57" xfId="12" applyFont="1" applyFill="1" applyBorder="1" applyAlignment="1">
      <alignment horizontal="center" vertical="center" wrapText="1"/>
    </xf>
    <xf numFmtId="0" fontId="6" fillId="0" borderId="57" xfId="12" applyFont="1" applyFill="1" applyBorder="1" applyAlignment="1">
      <alignment horizontal="right" vertical="center"/>
    </xf>
    <xf numFmtId="177" fontId="6" fillId="0" borderId="49" xfId="6" applyNumberFormat="1" applyFont="1" applyFill="1" applyBorder="1" applyAlignment="1" applyProtection="1">
      <alignment vertical="center"/>
      <protection locked="0"/>
    </xf>
    <xf numFmtId="166" fontId="6" fillId="0" borderId="61" xfId="6" applyNumberFormat="1" applyFont="1" applyFill="1" applyBorder="1" applyAlignment="1" applyProtection="1">
      <alignment vertical="center"/>
      <protection locked="0"/>
    </xf>
    <xf numFmtId="179" fontId="6" fillId="2" borderId="55" xfId="7" applyNumberFormat="1" applyFont="1" applyFill="1" applyBorder="1" applyAlignment="1"/>
    <xf numFmtId="179" fontId="6" fillId="2" borderId="49" xfId="7" applyNumberFormat="1" applyFont="1" applyFill="1" applyBorder="1" applyAlignment="1"/>
    <xf numFmtId="180" fontId="6" fillId="2" borderId="55" xfId="7" applyNumberFormat="1" applyFont="1" applyFill="1" applyBorder="1" applyAlignment="1"/>
    <xf numFmtId="179" fontId="6" fillId="2" borderId="58" xfId="7" applyNumberFormat="1" applyFont="1" applyFill="1" applyBorder="1" applyAlignment="1"/>
    <xf numFmtId="1" fontId="8" fillId="2" borderId="34" xfId="12" applyNumberFormat="1" applyFont="1" applyFill="1" applyBorder="1" applyAlignment="1">
      <alignment horizontal="left" vertical="center" wrapText="1"/>
    </xf>
    <xf numFmtId="0" fontId="6" fillId="0" borderId="55" xfId="0" applyFont="1" applyBorder="1" applyAlignment="1">
      <alignment horizontal="center" vertical="center"/>
    </xf>
    <xf numFmtId="0" fontId="6" fillId="2" borderId="55" xfId="12" applyFont="1" applyFill="1" applyBorder="1" applyAlignment="1">
      <alignment horizontal="center"/>
    </xf>
    <xf numFmtId="10" fontId="6" fillId="2" borderId="55" xfId="12" applyNumberFormat="1" applyFont="1" applyFill="1" applyBorder="1" applyAlignment="1">
      <alignment horizontal="center" vertical="center" wrapText="1"/>
    </xf>
    <xf numFmtId="10" fontId="6" fillId="2" borderId="58" xfId="12" applyNumberFormat="1" applyFont="1" applyFill="1" applyBorder="1" applyAlignment="1">
      <alignment horizontal="center" vertical="center" wrapText="1"/>
    </xf>
    <xf numFmtId="0" fontId="8" fillId="2" borderId="5" xfId="12" applyFont="1" applyFill="1" applyBorder="1" applyAlignment="1">
      <alignment horizontal="center" vertical="center" wrapText="1"/>
    </xf>
    <xf numFmtId="4" fontId="8" fillId="2" borderId="3" xfId="12" applyNumberFormat="1" applyFont="1" applyFill="1" applyBorder="1" applyAlignment="1">
      <alignment horizontal="center" vertical="center"/>
    </xf>
    <xf numFmtId="1" fontId="6" fillId="2" borderId="55" xfId="12" applyNumberFormat="1" applyFont="1" applyFill="1" applyBorder="1" applyAlignment="1">
      <alignment horizontal="center" vertical="center" wrapText="1"/>
    </xf>
    <xf numFmtId="0" fontId="6" fillId="0" borderId="54" xfId="12" applyFont="1" applyBorder="1" applyAlignment="1">
      <alignment horizontal="right" vertical="center"/>
    </xf>
    <xf numFmtId="169" fontId="6" fillId="0" borderId="65" xfId="3" applyFont="1" applyFill="1" applyBorder="1" applyAlignment="1" applyProtection="1">
      <alignment horizontal="center" vertical="center" wrapText="1"/>
    </xf>
    <xf numFmtId="181" fontId="6" fillId="2" borderId="65" xfId="3" applyNumberFormat="1" applyFont="1" applyFill="1" applyBorder="1" applyAlignment="1" applyProtection="1">
      <alignment horizontal="center" vertical="center" wrapText="1"/>
    </xf>
    <xf numFmtId="0" fontId="6" fillId="2" borderId="0" xfId="12" applyFont="1" applyFill="1" applyBorder="1" applyAlignment="1">
      <alignment horizontal="right" vertical="center"/>
    </xf>
    <xf numFmtId="179" fontId="6" fillId="2" borderId="0" xfId="7" applyNumberFormat="1" applyFont="1" applyFill="1" applyBorder="1" applyAlignment="1"/>
    <xf numFmtId="0" fontId="10" fillId="0" borderId="0" xfId="0" applyFont="1" applyBorder="1" applyAlignment="1" applyProtection="1">
      <alignment horizontal="centerContinuous" vertic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Protection="1">
      <protection hidden="1"/>
    </xf>
    <xf numFmtId="0" fontId="8" fillId="0" borderId="0" xfId="0" applyFont="1" applyBorder="1" applyAlignment="1" applyProtection="1">
      <alignment horizontal="centerContinuous" vertical="center" wrapText="1"/>
      <protection hidden="1"/>
    </xf>
    <xf numFmtId="4" fontId="9" fillId="0" borderId="0" xfId="0" applyNumberFormat="1" applyFont="1" applyBorder="1" applyProtection="1">
      <protection hidden="1"/>
    </xf>
    <xf numFmtId="3" fontId="9" fillId="0" borderId="0" xfId="0" applyNumberFormat="1" applyFont="1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3" fontId="9" fillId="0" borderId="0" xfId="0" applyNumberFormat="1" applyFont="1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170" fontId="8" fillId="0" borderId="0" xfId="0" applyNumberFormat="1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1" fontId="9" fillId="0" borderId="11" xfId="0" applyNumberFormat="1" applyFont="1" applyBorder="1" applyAlignment="1" applyProtection="1">
      <alignment horizontal="center" vertical="center"/>
      <protection hidden="1"/>
    </xf>
    <xf numFmtId="1" fontId="9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Continuous" vertical="center" wrapText="1"/>
      <protection hidden="1"/>
    </xf>
    <xf numFmtId="4" fontId="9" fillId="0" borderId="12" xfId="0" applyNumberFormat="1" applyFont="1" applyBorder="1" applyProtection="1">
      <protection hidden="1"/>
    </xf>
    <xf numFmtId="3" fontId="9" fillId="0" borderId="12" xfId="0" applyNumberFormat="1" applyFont="1" applyFill="1" applyBorder="1" applyProtection="1">
      <protection hidden="1"/>
    </xf>
    <xf numFmtId="3" fontId="9" fillId="0" borderId="2" xfId="0" applyNumberFormat="1" applyFont="1" applyFill="1" applyBorder="1" applyAlignment="1" applyProtection="1">
      <alignment horizontal="right"/>
      <protection hidden="1"/>
    </xf>
    <xf numFmtId="1" fontId="8" fillId="0" borderId="33" xfId="0" applyNumberFormat="1" applyFont="1" applyBorder="1" applyAlignment="1" applyProtection="1">
      <alignment horizontal="center" vertical="center"/>
      <protection hidden="1"/>
    </xf>
    <xf numFmtId="1" fontId="8" fillId="0" borderId="34" xfId="0" applyNumberFormat="1" applyFont="1" applyBorder="1" applyAlignment="1" applyProtection="1">
      <alignment horizontal="center" vertical="center"/>
      <protection hidden="1"/>
    </xf>
    <xf numFmtId="3" fontId="8" fillId="0" borderId="34" xfId="0" applyNumberFormat="1" applyFont="1" applyBorder="1" applyAlignment="1" applyProtection="1">
      <alignment horizontal="center" vertical="center"/>
      <protection hidden="1"/>
    </xf>
    <xf numFmtId="4" fontId="24" fillId="0" borderId="34" xfId="0" applyNumberFormat="1" applyFont="1" applyBorder="1" applyAlignment="1" applyProtection="1">
      <alignment horizontal="center" vertical="center"/>
      <protection locked="0"/>
    </xf>
    <xf numFmtId="178" fontId="8" fillId="0" borderId="69" xfId="0" applyNumberFormat="1" applyFont="1" applyBorder="1" applyAlignment="1" applyProtection="1">
      <alignment horizontal="center" vertical="center"/>
      <protection hidden="1"/>
    </xf>
    <xf numFmtId="2" fontId="9" fillId="0" borderId="2" xfId="0" applyNumberFormat="1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Protection="1">
      <protection hidden="1"/>
    </xf>
    <xf numFmtId="0" fontId="19" fillId="0" borderId="2" xfId="0" applyFont="1" applyBorder="1" applyProtection="1">
      <protection hidden="1"/>
    </xf>
    <xf numFmtId="174" fontId="4" fillId="0" borderId="33" xfId="0" applyNumberFormat="1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wrapText="1"/>
    </xf>
    <xf numFmtId="180" fontId="0" fillId="0" borderId="0" xfId="0" applyNumberFormat="1"/>
    <xf numFmtId="179" fontId="0" fillId="0" borderId="0" xfId="7" applyNumberFormat="1" applyFont="1"/>
    <xf numFmtId="1" fontId="7" fillId="0" borderId="33" xfId="0" applyNumberFormat="1" applyFont="1" applyFill="1" applyBorder="1" applyAlignment="1" applyProtection="1">
      <alignment horizontal="center" vertical="center"/>
      <protection hidden="1"/>
    </xf>
    <xf numFmtId="1" fontId="7" fillId="0" borderId="34" xfId="0" applyNumberFormat="1" applyFont="1" applyFill="1" applyBorder="1" applyAlignment="1" applyProtection="1">
      <alignment horizontal="center" vertical="center"/>
      <protection hidden="1"/>
    </xf>
    <xf numFmtId="3" fontId="7" fillId="0" borderId="34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hidden="1"/>
    </xf>
    <xf numFmtId="3" fontId="6" fillId="6" borderId="29" xfId="11" applyNumberFormat="1" applyFont="1" applyFill="1" applyBorder="1" applyAlignment="1" applyProtection="1">
      <alignment horizontal="right"/>
      <protection hidden="1"/>
    </xf>
    <xf numFmtId="3" fontId="6" fillId="8" borderId="36" xfId="11" applyNumberFormat="1" applyFont="1" applyFill="1" applyBorder="1" applyAlignment="1" applyProtection="1">
      <alignment horizontal="right"/>
      <protection hidden="1"/>
    </xf>
    <xf numFmtId="3" fontId="6" fillId="7" borderId="30" xfId="11" applyNumberFormat="1" applyFont="1" applyFill="1" applyBorder="1" applyAlignment="1" applyProtection="1">
      <alignment horizontal="right"/>
      <protection hidden="1"/>
    </xf>
    <xf numFmtId="0" fontId="6" fillId="10" borderId="47" xfId="0" applyFont="1" applyFill="1" applyBorder="1" applyAlignment="1" applyProtection="1">
      <alignment horizontal="centerContinuous" vertical="center" wrapText="1"/>
      <protection locked="0"/>
    </xf>
    <xf numFmtId="0" fontId="6" fillId="10" borderId="5" xfId="0" applyFont="1" applyFill="1" applyBorder="1" applyAlignment="1" applyProtection="1">
      <alignment horizontal="centerContinuous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4" fontId="3" fillId="0" borderId="49" xfId="7" applyNumberFormat="1" applyFont="1" applyFill="1" applyBorder="1" applyAlignment="1" applyProtection="1">
      <alignment vertical="center"/>
      <protection locked="0"/>
    </xf>
    <xf numFmtId="171" fontId="3" fillId="0" borderId="34" xfId="0" applyNumberFormat="1" applyFont="1" applyFill="1" applyBorder="1" applyAlignment="1" applyProtection="1">
      <alignment horizontal="right" vertical="center"/>
      <protection locked="0"/>
    </xf>
    <xf numFmtId="3" fontId="3" fillId="0" borderId="49" xfId="7" applyNumberFormat="1" applyFont="1" applyFill="1" applyBorder="1" applyAlignment="1" applyProtection="1">
      <alignment horizontal="center" vertical="center"/>
      <protection locked="0"/>
    </xf>
    <xf numFmtId="3" fontId="3" fillId="0" borderId="40" xfId="0" applyNumberFormat="1" applyFont="1" applyFill="1" applyBorder="1" applyAlignment="1" applyProtection="1">
      <alignment horizontal="centerContinuous" vertical="center"/>
      <protection locked="0"/>
    </xf>
    <xf numFmtId="0" fontId="3" fillId="0" borderId="39" xfId="0" applyFont="1" applyBorder="1" applyAlignment="1" applyProtection="1">
      <alignment horizontal="center"/>
      <protection hidden="1"/>
    </xf>
    <xf numFmtId="3" fontId="3" fillId="0" borderId="39" xfId="7" applyNumberFormat="1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Continuous"/>
      <protection locked="0"/>
    </xf>
    <xf numFmtId="0" fontId="12" fillId="9" borderId="46" xfId="0" applyFont="1" applyFill="1" applyBorder="1" applyAlignment="1" applyProtection="1">
      <alignment horizontal="centerContinuous"/>
      <protection hidden="1"/>
    </xf>
    <xf numFmtId="0" fontId="12" fillId="0" borderId="40" xfId="0" applyFont="1" applyFill="1" applyBorder="1" applyProtection="1">
      <protection hidden="1"/>
    </xf>
    <xf numFmtId="171" fontId="15" fillId="0" borderId="41" xfId="9" applyNumberFormat="1" applyFont="1" applyFill="1" applyBorder="1" applyAlignment="1" applyProtection="1">
      <alignment horizontal="center" vertical="center"/>
      <protection hidden="1"/>
    </xf>
    <xf numFmtId="1" fontId="6" fillId="2" borderId="62" xfId="12" applyNumberFormat="1" applyFont="1" applyFill="1" applyBorder="1" applyAlignment="1">
      <alignment horizontal="center" vertical="center" wrapText="1"/>
    </xf>
    <xf numFmtId="1" fontId="6" fillId="2" borderId="63" xfId="12" applyNumberFormat="1" applyFont="1" applyFill="1" applyBorder="1" applyAlignment="1">
      <alignment horizontal="center" vertical="center" wrapText="1"/>
    </xf>
    <xf numFmtId="1" fontId="6" fillId="2" borderId="63" xfId="12" applyNumberFormat="1" applyFont="1" applyFill="1" applyBorder="1" applyAlignment="1">
      <alignment horizontal="left" vertical="center" wrapText="1"/>
    </xf>
    <xf numFmtId="3" fontId="6" fillId="0" borderId="63" xfId="12" applyNumberFormat="1" applyFont="1" applyFill="1" applyBorder="1" applyAlignment="1">
      <alignment horizontal="center" vertical="center" wrapText="1"/>
    </xf>
    <xf numFmtId="184" fontId="6" fillId="0" borderId="63" xfId="12" applyNumberFormat="1" applyFont="1" applyFill="1" applyBorder="1" applyAlignment="1">
      <alignment horizontal="center" vertical="center" wrapText="1"/>
    </xf>
    <xf numFmtId="1" fontId="6" fillId="2" borderId="48" xfId="12" applyNumberFormat="1" applyFont="1" applyFill="1" applyBorder="1" applyAlignment="1">
      <alignment horizontal="center" vertical="center" wrapText="1"/>
    </xf>
    <xf numFmtId="1" fontId="6" fillId="2" borderId="34" xfId="12" applyNumberFormat="1" applyFont="1" applyFill="1" applyBorder="1" applyAlignment="1">
      <alignment horizontal="center" vertical="center" wrapText="1"/>
    </xf>
    <xf numFmtId="1" fontId="6" fillId="2" borderId="34" xfId="12" applyNumberFormat="1" applyFont="1" applyFill="1" applyBorder="1" applyAlignment="1">
      <alignment horizontal="left" vertical="center" wrapText="1"/>
    </xf>
    <xf numFmtId="3" fontId="6" fillId="0" borderId="34" xfId="12" applyNumberFormat="1" applyFont="1" applyFill="1" applyBorder="1" applyAlignment="1">
      <alignment horizontal="center" vertical="center" wrapText="1"/>
    </xf>
    <xf numFmtId="184" fontId="6" fillId="0" borderId="34" xfId="12" applyNumberFormat="1" applyFont="1" applyFill="1" applyBorder="1" applyAlignment="1">
      <alignment horizontal="center" vertical="center" wrapText="1"/>
    </xf>
    <xf numFmtId="0" fontId="32" fillId="0" borderId="0" xfId="0" applyFont="1" applyAlignment="1" applyProtection="1">
      <alignment horizontal="center" vertical="center"/>
      <protection hidden="1"/>
    </xf>
    <xf numFmtId="1" fontId="10" fillId="0" borderId="0" xfId="0" applyNumberFormat="1" applyFont="1" applyProtection="1">
      <protection hidden="1"/>
    </xf>
    <xf numFmtId="0" fontId="4" fillId="0" borderId="106" xfId="0" applyFont="1" applyFill="1" applyBorder="1" applyAlignment="1" applyProtection="1">
      <alignment horizontal="center" vertical="center" wrapText="1"/>
      <protection hidden="1"/>
    </xf>
    <xf numFmtId="179" fontId="6" fillId="10" borderId="38" xfId="7" applyNumberFormat="1" applyFont="1" applyFill="1" applyBorder="1" applyAlignment="1" applyProtection="1">
      <alignment vertical="center" wrapText="1"/>
      <protection locked="0"/>
    </xf>
    <xf numFmtId="0" fontId="6" fillId="10" borderId="62" xfId="0" applyFont="1" applyFill="1" applyBorder="1" applyAlignment="1" applyProtection="1">
      <alignment horizontal="centerContinuous" vertical="center" wrapText="1"/>
      <protection locked="0"/>
    </xf>
    <xf numFmtId="179" fontId="6" fillId="10" borderId="63" xfId="7" applyNumberFormat="1" applyFont="1" applyFill="1" applyBorder="1" applyAlignment="1" applyProtection="1">
      <alignment vertical="center" wrapText="1"/>
      <protection locked="0"/>
    </xf>
    <xf numFmtId="0" fontId="6" fillId="10" borderId="64" xfId="0" applyFont="1" applyFill="1" applyBorder="1" applyAlignment="1" applyProtection="1">
      <alignment horizontal="centerContinuous" vertical="center" wrapText="1"/>
      <protection locked="0"/>
    </xf>
    <xf numFmtId="0" fontId="10" fillId="0" borderId="9" xfId="0" applyFont="1" applyBorder="1" applyProtection="1">
      <protection hidden="1"/>
    </xf>
    <xf numFmtId="170" fontId="3" fillId="0" borderId="34" xfId="0" applyNumberFormat="1" applyFont="1" applyFill="1" applyBorder="1" applyAlignment="1" applyProtection="1">
      <alignment horizontal="right" vertical="center"/>
      <protection locked="0"/>
    </xf>
    <xf numFmtId="170" fontId="6" fillId="10" borderId="5" xfId="0" applyNumberFormat="1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0" xfId="12" applyFont="1" applyFill="1" applyAlignment="1">
      <alignment horizontal="center" vertical="center" wrapText="1"/>
    </xf>
    <xf numFmtId="3" fontId="3" fillId="2" borderId="0" xfId="12" applyNumberFormat="1" applyFont="1" applyFill="1" applyAlignment="1">
      <alignment horizontal="center" vertical="center"/>
    </xf>
    <xf numFmtId="0" fontId="6" fillId="2" borderId="42" xfId="12" applyFont="1" applyFill="1" applyBorder="1" applyAlignment="1">
      <alignment horizontal="center" vertical="center"/>
    </xf>
    <xf numFmtId="0" fontId="3" fillId="0" borderId="107" xfId="11" applyFont="1" applyFill="1" applyBorder="1"/>
    <xf numFmtId="211" fontId="4" fillId="0" borderId="35" xfId="0" applyNumberFormat="1" applyFont="1" applyFill="1" applyBorder="1" applyAlignment="1" applyProtection="1">
      <alignment horizontal="right" vertical="center"/>
      <protection hidden="1"/>
    </xf>
    <xf numFmtId="211" fontId="6" fillId="0" borderId="49" xfId="12" applyNumberFormat="1" applyFont="1" applyFill="1" applyBorder="1" applyAlignment="1">
      <alignment horizontal="center" vertical="center" wrapText="1"/>
    </xf>
    <xf numFmtId="211" fontId="8" fillId="0" borderId="34" xfId="0" applyNumberFormat="1" applyFont="1" applyFill="1" applyBorder="1" applyAlignment="1" applyProtection="1">
      <alignment horizontal="center" vertical="center"/>
      <protection hidden="1"/>
    </xf>
    <xf numFmtId="3" fontId="56" fillId="43" borderId="1" xfId="0" applyNumberFormat="1" applyFont="1" applyFill="1" applyBorder="1" applyAlignment="1" applyProtection="1">
      <alignment horizontal="centerContinuous" vertical="center"/>
      <protection locked="0"/>
    </xf>
    <xf numFmtId="171" fontId="19" fillId="0" borderId="0" xfId="0" applyNumberFormat="1" applyFont="1" applyFill="1" applyAlignment="1" applyProtection="1">
      <protection hidden="1"/>
    </xf>
    <xf numFmtId="171" fontId="3" fillId="0" borderId="0" xfId="0" applyNumberFormat="1" applyFont="1" applyFill="1" applyAlignment="1" applyProtection="1">
      <protection hidden="1"/>
    </xf>
    <xf numFmtId="171" fontId="9" fillId="0" borderId="0" xfId="0" applyNumberFormat="1" applyFont="1" applyProtection="1">
      <protection hidden="1"/>
    </xf>
    <xf numFmtId="0" fontId="6" fillId="0" borderId="108" xfId="0" applyFont="1" applyFill="1" applyBorder="1" applyAlignment="1">
      <alignment horizontal="center" vertical="center"/>
    </xf>
    <xf numFmtId="0" fontId="6" fillId="0" borderId="109" xfId="0" applyFont="1" applyFill="1" applyBorder="1" applyAlignment="1">
      <alignment horizontal="center" vertical="center" wrapText="1"/>
    </xf>
    <xf numFmtId="0" fontId="6" fillId="0" borderId="109" xfId="0" applyFont="1" applyFill="1" applyBorder="1" applyAlignment="1" applyProtection="1">
      <alignment horizontal="center" vertical="center"/>
      <protection hidden="1"/>
    </xf>
    <xf numFmtId="0" fontId="6" fillId="0" borderId="109" xfId="0" quotePrefix="1" applyFont="1" applyFill="1" applyBorder="1" applyAlignment="1" applyProtection="1">
      <alignment horizontal="center" vertical="center"/>
      <protection hidden="1"/>
    </xf>
    <xf numFmtId="0" fontId="6" fillId="0" borderId="110" xfId="0" applyFont="1" applyFill="1" applyBorder="1" applyAlignment="1" applyProtection="1">
      <alignment horizontal="center" vertical="center"/>
      <protection hidden="1"/>
    </xf>
    <xf numFmtId="0" fontId="6" fillId="0" borderId="111" xfId="0" applyFont="1" applyFill="1" applyBorder="1" applyAlignment="1" applyProtection="1">
      <alignment horizontal="center" vertical="center" wrapText="1"/>
      <protection hidden="1"/>
    </xf>
    <xf numFmtId="0" fontId="6" fillId="0" borderId="108" xfId="0" quotePrefix="1" applyFont="1" applyFill="1" applyBorder="1" applyAlignment="1" applyProtection="1">
      <alignment horizontal="center" vertical="center"/>
      <protection hidden="1"/>
    </xf>
    <xf numFmtId="182" fontId="0" fillId="0" borderId="0" xfId="0" applyNumberFormat="1"/>
    <xf numFmtId="0" fontId="58" fillId="0" borderId="0" xfId="0" applyFont="1"/>
    <xf numFmtId="0" fontId="58" fillId="2" borderId="0" xfId="12" applyFont="1" applyFill="1"/>
    <xf numFmtId="0" fontId="58" fillId="2" borderId="0" xfId="12" applyFont="1" applyFill="1" applyAlignment="1">
      <alignment wrapText="1"/>
    </xf>
    <xf numFmtId="183" fontId="58" fillId="2" borderId="0" xfId="12" applyNumberFormat="1" applyFont="1" applyFill="1" applyAlignment="1">
      <alignment horizontal="center" vertical="center"/>
    </xf>
    <xf numFmtId="183" fontId="58" fillId="2" borderId="0" xfId="12" applyNumberFormat="1" applyFont="1" applyFill="1"/>
    <xf numFmtId="213" fontId="3" fillId="2" borderId="0" xfId="12" applyNumberFormat="1" applyFont="1" applyFill="1" applyAlignment="1">
      <alignment horizontal="center" vertical="center"/>
    </xf>
    <xf numFmtId="0" fontId="0" fillId="44" borderId="0" xfId="0" applyFill="1"/>
    <xf numFmtId="212" fontId="6" fillId="2" borderId="63" xfId="12" applyNumberFormat="1" applyFont="1" applyFill="1" applyBorder="1" applyAlignment="1">
      <alignment horizontal="center" vertical="center" wrapText="1"/>
    </xf>
    <xf numFmtId="212" fontId="6" fillId="2" borderId="34" xfId="12" applyNumberFormat="1" applyFont="1" applyFill="1" applyBorder="1" applyAlignment="1">
      <alignment horizontal="center" vertical="center" wrapText="1"/>
    </xf>
    <xf numFmtId="212" fontId="8" fillId="0" borderId="34" xfId="0" applyNumberFormat="1" applyFont="1" applyFill="1" applyBorder="1" applyAlignment="1" applyProtection="1">
      <alignment horizontal="center" vertical="center"/>
      <protection hidden="1"/>
    </xf>
    <xf numFmtId="4" fontId="6" fillId="44" borderId="1" xfId="7" applyNumberFormat="1" applyFont="1" applyFill="1" applyBorder="1" applyAlignment="1" applyProtection="1">
      <alignment horizontal="right" vertical="center"/>
      <protection locked="0"/>
    </xf>
    <xf numFmtId="0" fontId="7" fillId="0" borderId="112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3" fontId="3" fillId="0" borderId="113" xfId="0" applyNumberFormat="1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right" vertical="center"/>
      <protection hidden="1"/>
    </xf>
    <xf numFmtId="3" fontId="3" fillId="0" borderId="40" xfId="0" applyNumberFormat="1" applyFont="1" applyFill="1" applyBorder="1" applyAlignment="1" applyProtection="1">
      <alignment horizontal="right" vertical="center"/>
      <protection locked="0"/>
    </xf>
    <xf numFmtId="3" fontId="3" fillId="0" borderId="3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hidden="1"/>
    </xf>
    <xf numFmtId="0" fontId="15" fillId="9" borderId="43" xfId="0" applyFont="1" applyFill="1" applyBorder="1" applyAlignment="1" applyProtection="1">
      <alignment horizontal="centerContinuous" vertical="center"/>
      <protection locked="0"/>
    </xf>
    <xf numFmtId="0" fontId="4" fillId="0" borderId="114" xfId="0" applyFont="1" applyFill="1" applyBorder="1" applyAlignment="1" applyProtection="1">
      <alignment horizontal="left" vertical="center" wrapText="1"/>
      <protection hidden="1"/>
    </xf>
    <xf numFmtId="181" fontId="10" fillId="0" borderId="0" xfId="3" applyNumberFormat="1" applyFont="1" applyAlignment="1" applyProtection="1">
      <alignment horizontal="center" vertical="center"/>
      <protection hidden="1"/>
    </xf>
    <xf numFmtId="182" fontId="58" fillId="2" borderId="0" xfId="12" applyNumberFormat="1" applyFont="1" applyFill="1" applyAlignment="1">
      <alignment horizontal="right" vertical="center"/>
    </xf>
    <xf numFmtId="169" fontId="58" fillId="2" borderId="0" xfId="3" applyFont="1" applyFill="1" applyAlignment="1">
      <alignment horizontal="center" vertical="center"/>
    </xf>
    <xf numFmtId="0" fontId="10" fillId="0" borderId="115" xfId="0" applyFont="1" applyBorder="1" applyAlignment="1" applyProtection="1">
      <alignment horizontal="center"/>
      <protection hidden="1"/>
    </xf>
    <xf numFmtId="0" fontId="10" fillId="0" borderId="51" xfId="0" applyFont="1" applyBorder="1" applyAlignment="1" applyProtection="1">
      <alignment horizontal="center"/>
      <protection hidden="1"/>
    </xf>
    <xf numFmtId="4" fontId="6" fillId="44" borderId="55" xfId="7" applyNumberFormat="1" applyFont="1" applyFill="1" applyBorder="1" applyAlignment="1" applyProtection="1">
      <alignment horizontal="right" vertical="center"/>
      <protection locked="0"/>
    </xf>
    <xf numFmtId="172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171" fontId="3" fillId="0" borderId="120" xfId="0" applyNumberFormat="1" applyFont="1" applyFill="1" applyBorder="1" applyAlignment="1" applyProtection="1">
      <alignment horizontal="right" vertical="center"/>
      <protection locked="0"/>
    </xf>
    <xf numFmtId="3" fontId="3" fillId="0" borderId="61" xfId="7" applyNumberFormat="1" applyFont="1" applyFill="1" applyBorder="1" applyAlignment="1" applyProtection="1">
      <alignment horizontal="center" vertical="center"/>
      <protection locked="0"/>
    </xf>
    <xf numFmtId="1" fontId="56" fillId="0" borderId="0" xfId="12" applyNumberFormat="1" applyFont="1" applyAlignment="1">
      <alignment horizontal="centerContinuous" vertical="center" wrapText="1"/>
    </xf>
    <xf numFmtId="1" fontId="60" fillId="0" borderId="0" xfId="12" applyNumberFormat="1" applyFont="1" applyAlignment="1">
      <alignment horizontal="centerContinuous" vertical="center" wrapText="1"/>
    </xf>
    <xf numFmtId="211" fontId="8" fillId="0" borderId="35" xfId="0" applyNumberFormat="1" applyFont="1" applyBorder="1" applyAlignment="1" applyProtection="1">
      <alignment horizontal="center" vertical="center"/>
      <protection hidden="1"/>
    </xf>
    <xf numFmtId="0" fontId="6" fillId="45" borderId="13" xfId="0" applyFont="1" applyFill="1" applyBorder="1" applyAlignment="1" applyProtection="1">
      <alignment horizontal="center" vertical="center" wrapText="1"/>
      <protection locked="0"/>
    </xf>
    <xf numFmtId="0" fontId="6" fillId="45" borderId="116" xfId="0" applyFont="1" applyFill="1" applyBorder="1" applyAlignment="1" applyProtection="1">
      <alignment vertical="center" wrapText="1"/>
      <protection locked="0"/>
    </xf>
    <xf numFmtId="0" fontId="6" fillId="45" borderId="57" xfId="0" applyFont="1" applyFill="1" applyBorder="1" applyAlignment="1" applyProtection="1">
      <alignment horizontal="center" vertical="center" wrapText="1"/>
      <protection locked="0"/>
    </xf>
    <xf numFmtId="0" fontId="6" fillId="45" borderId="122" xfId="0" applyFont="1" applyFill="1" applyBorder="1" applyAlignment="1" applyProtection="1">
      <alignment horizontal="center" vertical="center" wrapText="1"/>
      <protection hidden="1"/>
    </xf>
    <xf numFmtId="0" fontId="10" fillId="0" borderId="123" xfId="0" applyFont="1" applyBorder="1" applyAlignment="1" applyProtection="1">
      <alignment horizontal="center"/>
      <protection hidden="1"/>
    </xf>
    <xf numFmtId="4" fontId="6" fillId="46" borderId="55" xfId="7" applyNumberFormat="1" applyFont="1" applyFill="1" applyBorder="1" applyAlignment="1" applyProtection="1">
      <alignment horizontal="right" vertical="center"/>
      <protection locked="0"/>
    </xf>
    <xf numFmtId="0" fontId="6" fillId="46" borderId="53" xfId="0" applyFont="1" applyFill="1" applyBorder="1" applyAlignment="1" applyProtection="1">
      <alignment horizontal="right" vertical="center"/>
      <protection locked="0"/>
    </xf>
    <xf numFmtId="0" fontId="6" fillId="46" borderId="54" xfId="0" applyFont="1" applyFill="1" applyBorder="1" applyAlignment="1" applyProtection="1">
      <alignment horizontal="right" vertical="center"/>
      <protection locked="0"/>
    </xf>
    <xf numFmtId="0" fontId="6" fillId="46" borderId="54" xfId="0" quotePrefix="1" applyFont="1" applyFill="1" applyBorder="1" applyAlignment="1" applyProtection="1">
      <alignment horizontal="right" vertical="center"/>
      <protection locked="0"/>
    </xf>
    <xf numFmtId="4" fontId="6" fillId="46" borderId="54" xfId="0" applyNumberFormat="1" applyFont="1" applyFill="1" applyBorder="1" applyAlignment="1" applyProtection="1">
      <alignment horizontal="right" vertical="center"/>
      <protection locked="0"/>
    </xf>
    <xf numFmtId="10" fontId="6" fillId="44" borderId="60" xfId="228" applyNumberFormat="1" applyFont="1" applyFill="1" applyBorder="1" applyAlignment="1" applyProtection="1">
      <alignment horizontal="center" vertical="center"/>
      <protection locked="0"/>
    </xf>
    <xf numFmtId="10" fontId="6" fillId="10" borderId="60" xfId="228" applyNumberFormat="1" applyFont="1" applyFill="1" applyBorder="1" applyAlignment="1" applyProtection="1">
      <alignment horizontal="center" vertical="center"/>
      <protection locked="0"/>
    </xf>
    <xf numFmtId="4" fontId="6" fillId="10" borderId="55" xfId="7" applyNumberFormat="1" applyFont="1" applyFill="1" applyBorder="1" applyAlignment="1" applyProtection="1">
      <alignment horizontal="right" vertical="center"/>
      <protection locked="0"/>
    </xf>
    <xf numFmtId="0" fontId="6" fillId="46" borderId="56" xfId="0" applyFont="1" applyFill="1" applyBorder="1" applyAlignment="1" applyProtection="1">
      <alignment horizontal="right" vertical="center"/>
      <protection locked="0"/>
    </xf>
    <xf numFmtId="0" fontId="6" fillId="46" borderId="57" xfId="0" applyFont="1" applyFill="1" applyBorder="1" applyAlignment="1" applyProtection="1">
      <alignment horizontal="right" vertical="center"/>
      <protection locked="0"/>
    </xf>
    <xf numFmtId="0" fontId="6" fillId="46" borderId="57" xfId="0" quotePrefix="1" applyFont="1" applyFill="1" applyBorder="1" applyAlignment="1" applyProtection="1">
      <alignment horizontal="right" vertical="center"/>
      <protection locked="0"/>
    </xf>
    <xf numFmtId="4" fontId="6" fillId="46" borderId="57" xfId="0" applyNumberFormat="1" applyFont="1" applyFill="1" applyBorder="1" applyAlignment="1" applyProtection="1">
      <alignment horizontal="right" vertical="center"/>
      <protection locked="0"/>
    </xf>
    <xf numFmtId="4" fontId="6" fillId="46" borderId="58" xfId="7" applyNumberFormat="1" applyFont="1" applyFill="1" applyBorder="1" applyAlignment="1" applyProtection="1">
      <alignment horizontal="right" vertical="center"/>
      <protection locked="0"/>
    </xf>
    <xf numFmtId="10" fontId="6" fillId="10" borderId="1" xfId="228" applyNumberFormat="1" applyFont="1" applyFill="1" applyBorder="1" applyAlignment="1" applyProtection="1">
      <alignment horizontal="centerContinuous" vertical="center"/>
      <protection locked="0"/>
    </xf>
    <xf numFmtId="4" fontId="6" fillId="47" borderId="118" xfId="7" applyNumberFormat="1" applyFont="1" applyFill="1" applyBorder="1" applyAlignment="1" applyProtection="1">
      <alignment horizontal="right" vertical="center"/>
      <protection locked="0"/>
    </xf>
    <xf numFmtId="4" fontId="6" fillId="47" borderId="1" xfId="7" applyNumberFormat="1" applyFont="1" applyFill="1" applyBorder="1" applyAlignment="1" applyProtection="1">
      <alignment horizontal="right" vertical="center"/>
      <protection locked="0"/>
    </xf>
    <xf numFmtId="4" fontId="6" fillId="10" borderId="1" xfId="7" applyNumberFormat="1" applyFont="1" applyFill="1" applyBorder="1" applyAlignment="1" applyProtection="1">
      <alignment horizontal="right" vertical="center"/>
      <protection locked="0"/>
    </xf>
    <xf numFmtId="4" fontId="6" fillId="46" borderId="42" xfId="7" applyNumberFormat="1" applyFont="1" applyFill="1" applyBorder="1" applyAlignment="1" applyProtection="1">
      <alignment horizontal="right" vertical="center"/>
      <protection locked="0"/>
    </xf>
    <xf numFmtId="3" fontId="3" fillId="0" borderId="34" xfId="0" applyNumberFormat="1" applyFont="1" applyFill="1" applyBorder="1" applyAlignment="1" applyProtection="1">
      <alignment horizontal="right" vertical="center"/>
      <protection locked="0"/>
    </xf>
    <xf numFmtId="3" fontId="6" fillId="10" borderId="5" xfId="0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48" xfId="0" applyNumberFormat="1" applyFont="1" applyFill="1" applyBorder="1" applyAlignment="1" applyProtection="1">
      <alignment horizontal="right" vertical="center"/>
      <protection locked="0"/>
    </xf>
    <xf numFmtId="3" fontId="6" fillId="10" borderId="62" xfId="0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119" xfId="0" applyNumberFormat="1" applyFont="1" applyFill="1" applyBorder="1" applyAlignment="1" applyProtection="1">
      <alignment horizontal="right" vertical="center"/>
      <protection locked="0"/>
    </xf>
    <xf numFmtId="10" fontId="3" fillId="0" borderId="1" xfId="228" applyNumberFormat="1" applyFont="1" applyFill="1" applyBorder="1" applyAlignment="1" applyProtection="1">
      <alignment horizontal="centerContinuous" vertical="center"/>
      <protection locked="0"/>
    </xf>
    <xf numFmtId="10" fontId="3" fillId="44" borderId="1" xfId="228" applyNumberFormat="1" applyFont="1" applyFill="1" applyBorder="1" applyAlignment="1" applyProtection="1">
      <alignment horizontal="centerContinuous" vertical="center"/>
      <protection locked="0"/>
    </xf>
    <xf numFmtId="214" fontId="3" fillId="0" borderId="113" xfId="228" applyNumberFormat="1" applyFont="1" applyFill="1" applyBorder="1" applyAlignment="1" applyProtection="1">
      <alignment horizontal="centerContinuous" vertical="center"/>
      <protection locked="0"/>
    </xf>
    <xf numFmtId="3" fontId="6" fillId="45" borderId="32" xfId="11" applyNumberFormat="1" applyFont="1" applyFill="1" applyBorder="1" applyAlignment="1" applyProtection="1">
      <alignment horizontal="right"/>
      <protection hidden="1"/>
    </xf>
    <xf numFmtId="0" fontId="15" fillId="45" borderId="42" xfId="12" applyFont="1" applyFill="1" applyBorder="1" applyAlignment="1">
      <alignment horizontal="center" vertical="center" wrapText="1"/>
    </xf>
    <xf numFmtId="0" fontId="30" fillId="45" borderId="14" xfId="13" applyFont="1" applyFill="1" applyBorder="1" applyAlignment="1">
      <alignment horizontal="center" vertical="center"/>
    </xf>
    <xf numFmtId="0" fontId="29" fillId="45" borderId="6" xfId="13" applyFont="1" applyFill="1" applyBorder="1" applyAlignment="1">
      <alignment horizontal="center" vertical="center"/>
    </xf>
    <xf numFmtId="0" fontId="1" fillId="45" borderId="6" xfId="13" applyFont="1" applyFill="1" applyBorder="1" applyAlignment="1">
      <alignment horizontal="center" vertical="center"/>
    </xf>
    <xf numFmtId="179" fontId="15" fillId="45" borderId="71" xfId="7" applyNumberFormat="1" applyFont="1" applyFill="1" applyBorder="1" applyAlignment="1">
      <alignment horizontal="center" vertical="center" wrapText="1"/>
    </xf>
    <xf numFmtId="0" fontId="15" fillId="45" borderId="66" xfId="12" applyFont="1" applyFill="1" applyBorder="1" applyAlignment="1">
      <alignment horizontal="center" vertical="center" wrapText="1"/>
    </xf>
    <xf numFmtId="0" fontId="15" fillId="45" borderId="67" xfId="12" applyFont="1" applyFill="1" applyBorder="1" applyAlignment="1">
      <alignment horizontal="center" vertical="center" wrapText="1"/>
    </xf>
    <xf numFmtId="0" fontId="15" fillId="45" borderId="37" xfId="12" applyFont="1" applyFill="1" applyBorder="1" applyAlignment="1">
      <alignment horizontal="center" vertical="center"/>
    </xf>
    <xf numFmtId="0" fontId="15" fillId="45" borderId="59" xfId="12" applyFont="1" applyFill="1" applyBorder="1" applyAlignment="1">
      <alignment horizontal="center" vertical="center"/>
    </xf>
    <xf numFmtId="0" fontId="6" fillId="45" borderId="55" xfId="12" applyFont="1" applyFill="1" applyBorder="1" applyAlignment="1">
      <alignment horizontal="center" vertical="center"/>
    </xf>
    <xf numFmtId="0" fontId="15" fillId="45" borderId="70" xfId="0" applyFont="1" applyFill="1" applyBorder="1" applyAlignment="1" applyProtection="1">
      <alignment horizontal="center"/>
      <protection hidden="1"/>
    </xf>
    <xf numFmtId="0" fontId="15" fillId="45" borderId="60" xfId="0" applyFont="1" applyFill="1" applyBorder="1" applyAlignment="1" applyProtection="1">
      <alignment horizontal="center"/>
      <protection hidden="1"/>
    </xf>
    <xf numFmtId="0" fontId="15" fillId="45" borderId="105" xfId="0" applyFont="1" applyFill="1" applyBorder="1" applyAlignment="1" applyProtection="1">
      <alignment horizontal="center"/>
      <protection hidden="1"/>
    </xf>
    <xf numFmtId="0" fontId="15" fillId="45" borderId="7" xfId="0" applyFont="1" applyFill="1" applyBorder="1" applyAlignment="1" applyProtection="1">
      <alignment horizontal="center"/>
      <protection hidden="1"/>
    </xf>
    <xf numFmtId="0" fontId="7" fillId="45" borderId="66" xfId="0" applyFont="1" applyFill="1" applyBorder="1" applyAlignment="1" applyProtection="1">
      <alignment horizontal="center" vertical="center" wrapText="1"/>
      <protection hidden="1"/>
    </xf>
    <xf numFmtId="0" fontId="7" fillId="45" borderId="66" xfId="0" applyFont="1" applyFill="1" applyBorder="1" applyAlignment="1" applyProtection="1">
      <alignment horizontal="center" vertical="center" wrapText="1"/>
      <protection locked="0"/>
    </xf>
    <xf numFmtId="0" fontId="7" fillId="45" borderId="68" xfId="0" applyFont="1" applyFill="1" applyBorder="1" applyAlignment="1" applyProtection="1">
      <alignment horizontal="center" vertical="center" wrapText="1"/>
      <protection hidden="1"/>
    </xf>
    <xf numFmtId="0" fontId="7" fillId="45" borderId="68" xfId="12" applyFont="1" applyFill="1" applyBorder="1" applyAlignment="1">
      <alignment horizontal="center" vertical="center" wrapText="1"/>
    </xf>
    <xf numFmtId="2" fontId="7" fillId="45" borderId="68" xfId="3" applyNumberFormat="1" applyFont="1" applyFill="1" applyBorder="1" applyAlignment="1" applyProtection="1">
      <alignment horizontal="center" vertical="center"/>
      <protection locked="0"/>
    </xf>
    <xf numFmtId="2" fontId="7" fillId="45" borderId="68" xfId="0" applyNumberFormat="1" applyFont="1" applyFill="1" applyBorder="1" applyAlignment="1" applyProtection="1">
      <alignment horizontal="center" vertical="center"/>
      <protection hidden="1"/>
    </xf>
    <xf numFmtId="4" fontId="7" fillId="45" borderId="72" xfId="0" applyNumberFormat="1" applyFont="1" applyFill="1" applyBorder="1" applyAlignment="1" applyProtection="1">
      <alignment horizontal="center" vertical="center"/>
      <protection hidden="1"/>
    </xf>
    <xf numFmtId="0" fontId="3" fillId="0" borderId="34" xfId="0" applyFont="1" applyFill="1" applyBorder="1" applyAlignment="1" applyProtection="1">
      <alignment horizontal="justify" vertical="center" wrapText="1"/>
      <protection locked="0"/>
    </xf>
    <xf numFmtId="0" fontId="3" fillId="0" borderId="124" xfId="0" applyFont="1" applyFill="1" applyBorder="1" applyAlignment="1" applyProtection="1">
      <alignment horizontal="center" vertical="center" wrapText="1"/>
      <protection locked="0"/>
    </xf>
    <xf numFmtId="0" fontId="3" fillId="0" borderId="125" xfId="0" applyFont="1" applyFill="1" applyBorder="1" applyAlignment="1" applyProtection="1">
      <alignment horizontal="center" vertical="center" wrapText="1"/>
      <protection locked="0"/>
    </xf>
    <xf numFmtId="0" fontId="3" fillId="0" borderId="125" xfId="0" applyFont="1" applyFill="1" applyBorder="1" applyAlignment="1" applyProtection="1">
      <alignment horizontal="justify" vertical="center" wrapText="1"/>
      <protection locked="0"/>
    </xf>
    <xf numFmtId="170" fontId="3" fillId="0" borderId="125" xfId="0" applyNumberFormat="1" applyFont="1" applyFill="1" applyBorder="1" applyAlignment="1" applyProtection="1">
      <alignment horizontal="right" vertical="center"/>
      <protection locked="0"/>
    </xf>
    <xf numFmtId="3" fontId="3" fillId="0" borderId="125" xfId="0" applyNumberFormat="1" applyFont="1" applyFill="1" applyBorder="1" applyAlignment="1" applyProtection="1">
      <alignment horizontal="right" vertical="center"/>
      <protection locked="0"/>
    </xf>
    <xf numFmtId="4" fontId="3" fillId="0" borderId="126" xfId="7" applyNumberFormat="1" applyFont="1" applyFill="1" applyBorder="1" applyAlignment="1" applyProtection="1">
      <alignment vertical="center"/>
      <protection locked="0"/>
    </xf>
    <xf numFmtId="0" fontId="6" fillId="46" borderId="50" xfId="0" applyFont="1" applyFill="1" applyBorder="1" applyAlignment="1" applyProtection="1">
      <alignment horizontal="right" vertical="center"/>
      <protection locked="0"/>
    </xf>
    <xf numFmtId="0" fontId="6" fillId="46" borderId="51" xfId="0" applyFont="1" applyFill="1" applyBorder="1" applyAlignment="1" applyProtection="1">
      <alignment horizontal="right" vertical="center"/>
      <protection locked="0"/>
    </xf>
    <xf numFmtId="0" fontId="6" fillId="46" borderId="51" xfId="0" quotePrefix="1" applyFont="1" applyFill="1" applyBorder="1" applyAlignment="1" applyProtection="1">
      <alignment horizontal="right" vertical="center"/>
      <protection locked="0"/>
    </xf>
    <xf numFmtId="4" fontId="6" fillId="46" borderId="51" xfId="0" applyNumberFormat="1" applyFont="1" applyFill="1" applyBorder="1" applyAlignment="1" applyProtection="1">
      <alignment horizontal="right" vertical="center"/>
      <protection locked="0"/>
    </xf>
    <xf numFmtId="4" fontId="6" fillId="46" borderId="52" xfId="7" applyNumberFormat="1" applyFont="1" applyFill="1" applyBorder="1" applyAlignment="1" applyProtection="1">
      <alignment horizontal="right" vertical="center"/>
      <protection locked="0"/>
    </xf>
    <xf numFmtId="3" fontId="3" fillId="43" borderId="48" xfId="0" applyNumberFormat="1" applyFont="1" applyFill="1" applyBorder="1" applyAlignment="1" applyProtection="1">
      <alignment horizontal="right" vertical="center"/>
      <protection locked="0"/>
    </xf>
    <xf numFmtId="171" fontId="3" fillId="43" borderId="34" xfId="0" applyNumberFormat="1" applyFont="1" applyFill="1" applyBorder="1" applyAlignment="1" applyProtection="1">
      <alignment horizontal="right" vertical="center"/>
      <protection locked="0"/>
    </xf>
    <xf numFmtId="171" fontId="3" fillId="43" borderId="120" xfId="0" applyNumberFormat="1" applyFont="1" applyFill="1" applyBorder="1" applyAlignment="1" applyProtection="1">
      <alignment horizontal="right" vertical="center"/>
      <protection locked="0"/>
    </xf>
    <xf numFmtId="1" fontId="4" fillId="0" borderId="0" xfId="12" applyNumberFormat="1" applyFont="1" applyAlignment="1">
      <alignment horizontal="center" vertical="center" wrapText="1"/>
    </xf>
    <xf numFmtId="1" fontId="6" fillId="0" borderId="0" xfId="12" applyNumberFormat="1" applyFont="1" applyAlignment="1">
      <alignment horizontal="center" vertical="center" wrapText="1"/>
    </xf>
    <xf numFmtId="0" fontId="6" fillId="45" borderId="23" xfId="11" applyFont="1" applyFill="1" applyBorder="1" applyAlignment="1" applyProtection="1">
      <alignment horizontal="center" vertical="center" wrapText="1"/>
      <protection hidden="1"/>
    </xf>
    <xf numFmtId="0" fontId="6" fillId="45" borderId="25" xfId="11" applyFont="1" applyFill="1" applyBorder="1" applyAlignment="1" applyProtection="1">
      <alignment horizontal="center" vertical="center" wrapText="1"/>
      <protection hidden="1"/>
    </xf>
    <xf numFmtId="0" fontId="6" fillId="45" borderId="9" xfId="11" applyFont="1" applyFill="1" applyBorder="1" applyAlignment="1" applyProtection="1">
      <alignment horizontal="center" vertical="center" wrapText="1"/>
      <protection hidden="1"/>
    </xf>
    <xf numFmtId="0" fontId="6" fillId="45" borderId="10" xfId="11" applyFont="1" applyFill="1" applyBorder="1" applyAlignment="1" applyProtection="1">
      <alignment horizontal="center" vertical="center" wrapText="1"/>
      <protection hidden="1"/>
    </xf>
    <xf numFmtId="0" fontId="6" fillId="45" borderId="11" xfId="11" applyFont="1" applyFill="1" applyBorder="1" applyAlignment="1" applyProtection="1">
      <alignment horizontal="center" vertical="center" wrapText="1"/>
      <protection hidden="1"/>
    </xf>
    <xf numFmtId="0" fontId="6" fillId="45" borderId="2" xfId="11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0" fontId="6" fillId="45" borderId="75" xfId="0" applyFont="1" applyFill="1" applyBorder="1" applyAlignment="1" applyProtection="1">
      <alignment horizontal="center" vertical="center" wrapText="1"/>
      <protection hidden="1"/>
    </xf>
    <xf numFmtId="0" fontId="6" fillId="45" borderId="76" xfId="0" applyFont="1" applyFill="1" applyBorder="1" applyAlignment="1" applyProtection="1">
      <alignment horizontal="center" vertical="center" wrapText="1"/>
      <protection hidden="1"/>
    </xf>
    <xf numFmtId="0" fontId="6" fillId="45" borderId="78" xfId="0" applyFont="1" applyFill="1" applyBorder="1" applyAlignment="1" applyProtection="1">
      <alignment horizontal="center" vertical="center" wrapText="1"/>
      <protection hidden="1"/>
    </xf>
    <xf numFmtId="0" fontId="6" fillId="45" borderId="79" xfId="0" applyFont="1" applyFill="1" applyBorder="1" applyAlignment="1" applyProtection="1">
      <alignment horizontal="center" vertical="center" wrapText="1"/>
      <protection hidden="1"/>
    </xf>
    <xf numFmtId="0" fontId="6" fillId="45" borderId="74" xfId="0" applyFont="1" applyFill="1" applyBorder="1" applyAlignment="1" applyProtection="1">
      <alignment horizontal="center" vertical="center" wrapText="1"/>
      <protection hidden="1"/>
    </xf>
    <xf numFmtId="0" fontId="6" fillId="45" borderId="37" xfId="0" applyFont="1" applyFill="1" applyBorder="1" applyAlignment="1" applyProtection="1">
      <alignment horizontal="center" vertical="center" wrapText="1"/>
      <protection hidden="1"/>
    </xf>
    <xf numFmtId="0" fontId="6" fillId="45" borderId="77" xfId="0" applyFont="1" applyFill="1" applyBorder="1" applyAlignment="1" applyProtection="1">
      <alignment horizontal="center" vertical="center" wrapText="1"/>
      <protection hidden="1"/>
    </xf>
    <xf numFmtId="0" fontId="6" fillId="45" borderId="117" xfId="0" applyFont="1" applyFill="1" applyBorder="1" applyAlignment="1" applyProtection="1">
      <alignment horizontal="center" vertical="center" wrapText="1"/>
      <protection hidden="1"/>
    </xf>
    <xf numFmtId="0" fontId="6" fillId="0" borderId="0" xfId="12" applyFont="1" applyAlignment="1">
      <alignment horizontal="center" vertical="center"/>
    </xf>
    <xf numFmtId="0" fontId="6" fillId="0" borderId="12" xfId="12" applyFont="1" applyBorder="1" applyAlignment="1">
      <alignment horizontal="center" vertical="center"/>
    </xf>
    <xf numFmtId="0" fontId="6" fillId="45" borderId="73" xfId="0" applyFont="1" applyFill="1" applyBorder="1" applyAlignment="1" applyProtection="1">
      <alignment horizontal="center" vertical="center" wrapText="1"/>
      <protection locked="0"/>
    </xf>
    <xf numFmtId="0" fontId="6" fillId="45" borderId="121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Fill="1" applyBorder="1" applyAlignment="1" applyProtection="1">
      <alignment horizontal="right" vertical="center" wrapText="1"/>
      <protection locked="0"/>
    </xf>
    <xf numFmtId="0" fontId="6" fillId="0" borderId="54" xfId="0" applyFont="1" applyFill="1" applyBorder="1" applyAlignment="1" applyProtection="1">
      <alignment horizontal="right" vertical="center" wrapText="1"/>
      <protection locked="0"/>
    </xf>
    <xf numFmtId="0" fontId="6" fillId="0" borderId="36" xfId="0" applyFont="1" applyFill="1" applyBorder="1" applyAlignment="1" applyProtection="1">
      <alignment horizontal="right" vertical="center" wrapText="1"/>
      <protection locked="0"/>
    </xf>
    <xf numFmtId="0" fontId="6" fillId="44" borderId="53" xfId="0" quotePrefix="1" applyFont="1" applyFill="1" applyBorder="1" applyAlignment="1" applyProtection="1">
      <alignment horizontal="center" vertical="center"/>
      <protection locked="0"/>
    </xf>
    <xf numFmtId="0" fontId="6" fillId="44" borderId="54" xfId="0" quotePrefix="1" applyFont="1" applyFill="1" applyBorder="1" applyAlignment="1" applyProtection="1">
      <alignment horizontal="center" vertical="center"/>
      <protection locked="0"/>
    </xf>
    <xf numFmtId="0" fontId="6" fillId="44" borderId="36" xfId="0" quotePrefix="1" applyFont="1" applyFill="1" applyBorder="1" applyAlignment="1" applyProtection="1">
      <alignment horizontal="center" vertical="center"/>
      <protection locked="0"/>
    </xf>
    <xf numFmtId="3" fontId="5" fillId="0" borderId="80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quotePrefix="1" applyNumberFormat="1" applyFont="1" applyFill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1" fontId="4" fillId="0" borderId="81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82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83" xfId="0" quotePrefix="1" applyNumberFormat="1" applyFont="1" applyFill="1" applyBorder="1" applyAlignment="1" applyProtection="1">
      <alignment horizontal="center" vertical="center" wrapText="1"/>
      <protection hidden="1"/>
    </xf>
    <xf numFmtId="0" fontId="9" fillId="0" borderId="23" xfId="0" applyFont="1" applyFill="1" applyBorder="1" applyAlignment="1" applyProtection="1">
      <alignment horizontal="justify" vertical="center" wrapText="1"/>
      <protection hidden="1"/>
    </xf>
    <xf numFmtId="0" fontId="9" fillId="0" borderId="24" xfId="0" applyFont="1" applyFill="1" applyBorder="1" applyAlignment="1" applyProtection="1">
      <alignment horizontal="justify" vertical="center" wrapText="1"/>
      <protection hidden="1"/>
    </xf>
    <xf numFmtId="0" fontId="9" fillId="0" borderId="25" xfId="0" applyFont="1" applyFill="1" applyBorder="1" applyAlignment="1" applyProtection="1">
      <alignment horizontal="justify" vertical="center" wrapText="1"/>
      <protection hidden="1"/>
    </xf>
    <xf numFmtId="0" fontId="9" fillId="0" borderId="9" xfId="0" applyFont="1" applyFill="1" applyBorder="1" applyAlignment="1" applyProtection="1">
      <alignment horizontal="justify" vertical="center" wrapText="1"/>
      <protection hidden="1"/>
    </xf>
    <xf numFmtId="0" fontId="9" fillId="0" borderId="0" xfId="0" applyFont="1" applyFill="1" applyBorder="1" applyAlignment="1" applyProtection="1">
      <alignment horizontal="justify" vertical="center" wrapText="1"/>
      <protection hidden="1"/>
    </xf>
    <xf numFmtId="0" fontId="9" fillId="0" borderId="10" xfId="0" applyFont="1" applyFill="1" applyBorder="1" applyAlignment="1" applyProtection="1">
      <alignment horizontal="justify" vertical="center" wrapText="1"/>
      <protection hidden="1"/>
    </xf>
    <xf numFmtId="0" fontId="9" fillId="0" borderId="11" xfId="0" applyFont="1" applyFill="1" applyBorder="1" applyAlignment="1" applyProtection="1">
      <alignment horizontal="justify" vertical="center" wrapText="1"/>
      <protection hidden="1"/>
    </xf>
    <xf numFmtId="0" fontId="9" fillId="0" borderId="12" xfId="0" applyFont="1" applyFill="1" applyBorder="1" applyAlignment="1" applyProtection="1">
      <alignment horizontal="justify" vertical="center" wrapText="1"/>
      <protection hidden="1"/>
    </xf>
    <xf numFmtId="0" fontId="9" fillId="0" borderId="2" xfId="0" applyFont="1" applyFill="1" applyBorder="1" applyAlignment="1" applyProtection="1">
      <alignment horizontal="justify" vertical="center" wrapText="1"/>
      <protection hidden="1"/>
    </xf>
    <xf numFmtId="4" fontId="8" fillId="4" borderId="84" xfId="0" applyNumberFormat="1" applyFont="1" applyFill="1" applyBorder="1" applyAlignment="1" applyProtection="1">
      <alignment horizontal="center" vertical="center" wrapText="1"/>
      <protection hidden="1"/>
    </xf>
    <xf numFmtId="4" fontId="8" fillId="4" borderId="85" xfId="0" applyNumberFormat="1" applyFont="1" applyFill="1" applyBorder="1" applyAlignment="1" applyProtection="1">
      <alignment horizontal="center" vertical="center" wrapText="1"/>
      <protection hidden="1"/>
    </xf>
    <xf numFmtId="4" fontId="8" fillId="4" borderId="28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6" fillId="10" borderId="53" xfId="0" quotePrefix="1" applyFont="1" applyFill="1" applyBorder="1" applyAlignment="1" applyProtection="1">
      <alignment horizontal="center" vertical="center"/>
      <protection locked="0"/>
    </xf>
    <xf numFmtId="0" fontId="6" fillId="10" borderId="54" xfId="0" quotePrefix="1" applyFont="1" applyFill="1" applyBorder="1" applyAlignment="1" applyProtection="1">
      <alignment horizontal="center" vertical="center"/>
      <protection locked="0"/>
    </xf>
    <xf numFmtId="0" fontId="6" fillId="10" borderId="36" xfId="0" quotePrefix="1" applyFont="1" applyFill="1" applyBorder="1" applyAlignment="1" applyProtection="1">
      <alignment horizontal="center" vertical="center"/>
      <protection locked="0"/>
    </xf>
    <xf numFmtId="0" fontId="6" fillId="0" borderId="0" xfId="12" applyFont="1" applyBorder="1" applyAlignment="1">
      <alignment horizontal="center" vertical="center" wrapText="1"/>
    </xf>
    <xf numFmtId="0" fontId="13" fillId="2" borderId="66" xfId="12" applyFont="1" applyFill="1" applyBorder="1" applyAlignment="1">
      <alignment horizontal="center" vertical="center" wrapText="1"/>
    </xf>
    <xf numFmtId="0" fontId="13" fillId="2" borderId="89" xfId="12" applyFont="1" applyFill="1" applyBorder="1" applyAlignment="1">
      <alignment horizontal="center" vertical="center" wrapText="1"/>
    </xf>
    <xf numFmtId="0" fontId="15" fillId="45" borderId="50" xfId="12" applyFont="1" applyFill="1" applyBorder="1" applyAlignment="1">
      <alignment horizontal="left" vertical="center" wrapText="1"/>
    </xf>
    <xf numFmtId="0" fontId="15" fillId="45" borderId="51" xfId="12" applyFont="1" applyFill="1" applyBorder="1" applyAlignment="1">
      <alignment horizontal="left" vertical="center" wrapText="1"/>
    </xf>
    <xf numFmtId="0" fontId="15" fillId="45" borderId="93" xfId="12" applyFont="1" applyFill="1" applyBorder="1" applyAlignment="1">
      <alignment horizontal="left" vertical="center" wrapText="1"/>
    </xf>
    <xf numFmtId="0" fontId="15" fillId="45" borderId="53" xfId="12" applyFont="1" applyFill="1" applyBorder="1" applyAlignment="1">
      <alignment horizontal="left" vertical="center" wrapText="1"/>
    </xf>
    <xf numFmtId="0" fontId="15" fillId="45" borderId="54" xfId="12" applyFont="1" applyFill="1" applyBorder="1" applyAlignment="1">
      <alignment horizontal="left" vertical="center" wrapText="1"/>
    </xf>
    <xf numFmtId="0" fontId="15" fillId="45" borderId="65" xfId="12" applyFont="1" applyFill="1" applyBorder="1" applyAlignment="1">
      <alignment horizontal="left" vertical="center" wrapText="1"/>
    </xf>
    <xf numFmtId="179" fontId="15" fillId="45" borderId="44" xfId="7" applyNumberFormat="1" applyFont="1" applyFill="1" applyBorder="1" applyAlignment="1">
      <alignment horizontal="center" vertical="center" wrapText="1"/>
    </xf>
    <xf numFmtId="0" fontId="15" fillId="45" borderId="90" xfId="12" applyFont="1" applyFill="1" applyBorder="1" applyAlignment="1">
      <alignment horizontal="center" vertical="center" wrapText="1"/>
    </xf>
    <xf numFmtId="0" fontId="15" fillId="45" borderId="91" xfId="12" applyFont="1" applyFill="1" applyBorder="1" applyAlignment="1">
      <alignment horizontal="center" vertical="center" wrapText="1"/>
    </xf>
    <xf numFmtId="0" fontId="15" fillId="45" borderId="52" xfId="12" applyFont="1" applyFill="1" applyBorder="1" applyAlignment="1">
      <alignment horizontal="center" vertical="center" wrapText="1"/>
    </xf>
    <xf numFmtId="0" fontId="13" fillId="2" borderId="30" xfId="12" applyFont="1" applyFill="1" applyBorder="1" applyAlignment="1">
      <alignment horizontal="center" vertical="center" wrapText="1"/>
    </xf>
    <xf numFmtId="0" fontId="13" fillId="2" borderId="88" xfId="12" applyFont="1" applyFill="1" applyBorder="1" applyAlignment="1">
      <alignment horizontal="center" vertical="center" wrapText="1"/>
    </xf>
    <xf numFmtId="4" fontId="6" fillId="2" borderId="87" xfId="12" applyNumberFormat="1" applyFont="1" applyFill="1" applyBorder="1" applyAlignment="1">
      <alignment horizontal="right" vertical="center" wrapText="1"/>
    </xf>
    <xf numFmtId="4" fontId="6" fillId="2" borderId="13" xfId="12" applyNumberFormat="1" applyFont="1" applyFill="1" applyBorder="1" applyAlignment="1">
      <alignment horizontal="right" vertical="center" wrapText="1"/>
    </xf>
    <xf numFmtId="4" fontId="6" fillId="2" borderId="86" xfId="12" applyNumberFormat="1" applyFont="1" applyFill="1" applyBorder="1" applyAlignment="1">
      <alignment horizontal="right" vertical="center" wrapText="1"/>
    </xf>
    <xf numFmtId="4" fontId="6" fillId="2" borderId="60" xfId="12" applyNumberFormat="1" applyFont="1" applyFill="1" applyBorder="1" applyAlignment="1">
      <alignment horizontal="right" vertical="center" wrapText="1"/>
    </xf>
    <xf numFmtId="0" fontId="15" fillId="45" borderId="62" xfId="12" applyFont="1" applyFill="1" applyBorder="1" applyAlignment="1">
      <alignment horizontal="center" vertical="center" wrapText="1"/>
    </xf>
    <xf numFmtId="0" fontId="15" fillId="45" borderId="63" xfId="12" applyFont="1" applyFill="1" applyBorder="1" applyAlignment="1">
      <alignment horizontal="center" vertical="center" wrapText="1"/>
    </xf>
    <xf numFmtId="0" fontId="15" fillId="45" borderId="64" xfId="12" applyFont="1" applyFill="1" applyBorder="1" applyAlignment="1">
      <alignment horizontal="center" vertical="center" wrapText="1"/>
    </xf>
    <xf numFmtId="0" fontId="6" fillId="2" borderId="53" xfId="12" applyFont="1" applyFill="1" applyBorder="1" applyAlignment="1">
      <alignment horizontal="right" vertical="center"/>
    </xf>
    <xf numFmtId="0" fontId="6" fillId="2" borderId="54" xfId="12" applyFont="1" applyFill="1" applyBorder="1" applyAlignment="1">
      <alignment horizontal="right" vertical="center"/>
    </xf>
    <xf numFmtId="0" fontId="6" fillId="2" borderId="36" xfId="12" applyFont="1" applyFill="1" applyBorder="1" applyAlignment="1">
      <alignment horizontal="right" vertical="center"/>
    </xf>
    <xf numFmtId="0" fontId="15" fillId="45" borderId="43" xfId="12" applyFont="1" applyFill="1" applyBorder="1" applyAlignment="1">
      <alignment horizontal="center" vertical="center" wrapText="1"/>
    </xf>
    <xf numFmtId="0" fontId="15" fillId="45" borderId="44" xfId="12" applyFont="1" applyFill="1" applyBorder="1" applyAlignment="1">
      <alignment horizontal="center" vertical="center" wrapText="1"/>
    </xf>
    <xf numFmtId="0" fontId="6" fillId="2" borderId="56" xfId="12" applyFont="1" applyFill="1" applyBorder="1" applyAlignment="1">
      <alignment horizontal="right" vertical="center"/>
    </xf>
    <xf numFmtId="0" fontId="6" fillId="2" borderId="57" xfId="12" applyFont="1" applyFill="1" applyBorder="1" applyAlignment="1">
      <alignment horizontal="right" vertical="center"/>
    </xf>
    <xf numFmtId="0" fontId="6" fillId="2" borderId="92" xfId="12" applyFont="1" applyFill="1" applyBorder="1" applyAlignment="1">
      <alignment horizontal="right" vertical="center"/>
    </xf>
    <xf numFmtId="0" fontId="6" fillId="2" borderId="57" xfId="12" applyFont="1" applyFill="1" applyBorder="1" applyAlignment="1">
      <alignment horizontal="center" vertical="center"/>
    </xf>
    <xf numFmtId="0" fontId="6" fillId="2" borderId="94" xfId="12" applyFont="1" applyFill="1" applyBorder="1" applyAlignment="1">
      <alignment horizontal="center" vertical="center"/>
    </xf>
    <xf numFmtId="0" fontId="6" fillId="45" borderId="86" xfId="12" applyFont="1" applyFill="1" applyBorder="1" applyAlignment="1">
      <alignment horizontal="center" vertical="center" wrapText="1"/>
    </xf>
    <xf numFmtId="0" fontId="6" fillId="45" borderId="60" xfId="12" applyFont="1" applyFill="1" applyBorder="1" applyAlignment="1">
      <alignment horizontal="center" vertical="center" wrapText="1"/>
    </xf>
    <xf numFmtId="0" fontId="15" fillId="45" borderId="86" xfId="12" applyFont="1" applyFill="1" applyBorder="1" applyAlignment="1">
      <alignment horizontal="center" vertical="center" wrapText="1"/>
    </xf>
    <xf numFmtId="0" fontId="15" fillId="45" borderId="87" xfId="12" applyFont="1" applyFill="1" applyBorder="1" applyAlignment="1">
      <alignment horizontal="center" vertical="center" wrapText="1"/>
    </xf>
    <xf numFmtId="0" fontId="15" fillId="45" borderId="60" xfId="12" applyFont="1" applyFill="1" applyBorder="1" applyAlignment="1">
      <alignment horizontal="center" vertical="center" wrapText="1"/>
    </xf>
    <xf numFmtId="0" fontId="15" fillId="45" borderId="13" xfId="12" applyFont="1" applyFill="1" applyBorder="1" applyAlignment="1">
      <alignment horizontal="center" vertical="center" wrapText="1"/>
    </xf>
    <xf numFmtId="0" fontId="15" fillId="45" borderId="60" xfId="12" applyFont="1" applyFill="1" applyBorder="1" applyAlignment="1">
      <alignment horizontal="center" vertical="center"/>
    </xf>
    <xf numFmtId="0" fontId="15" fillId="45" borderId="13" xfId="12" applyFont="1" applyFill="1" applyBorder="1" applyAlignment="1">
      <alignment horizontal="center" vertical="center"/>
    </xf>
    <xf numFmtId="0" fontId="7" fillId="45" borderId="74" xfId="0" applyFont="1" applyFill="1" applyBorder="1" applyAlignment="1" applyProtection="1">
      <alignment horizontal="center" vertical="center" wrapText="1"/>
      <protection hidden="1"/>
    </xf>
    <xf numFmtId="0" fontId="7" fillId="45" borderId="89" xfId="0" applyFont="1" applyFill="1" applyBorder="1" applyAlignment="1" applyProtection="1">
      <alignment horizontal="center" vertical="center" wrapText="1"/>
      <protection hidden="1"/>
    </xf>
    <xf numFmtId="0" fontId="7" fillId="45" borderId="68" xfId="0" applyFont="1" applyFill="1" applyBorder="1" applyAlignment="1" applyProtection="1">
      <alignment horizontal="center" vertical="center" wrapText="1"/>
      <protection hidden="1"/>
    </xf>
    <xf numFmtId="0" fontId="7" fillId="45" borderId="78" xfId="0" applyFont="1" applyFill="1" applyBorder="1" applyAlignment="1" applyProtection="1">
      <alignment horizontal="center" vertical="center" wrapText="1"/>
      <protection hidden="1"/>
    </xf>
    <xf numFmtId="0" fontId="7" fillId="45" borderId="96" xfId="0" applyFont="1" applyFill="1" applyBorder="1" applyAlignment="1" applyProtection="1">
      <alignment horizontal="center" vertical="center" wrapText="1"/>
      <protection hidden="1"/>
    </xf>
    <xf numFmtId="0" fontId="7" fillId="45" borderId="97" xfId="0" applyFont="1" applyFill="1" applyBorder="1" applyAlignment="1" applyProtection="1">
      <alignment horizontal="center" vertical="center" wrapText="1"/>
      <protection hidden="1"/>
    </xf>
    <xf numFmtId="175" fontId="10" fillId="0" borderId="0" xfId="0" applyNumberFormat="1" applyFont="1" applyProtection="1"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textRotation="90"/>
      <protection hidden="1"/>
    </xf>
    <xf numFmtId="0" fontId="15" fillId="45" borderId="14" xfId="0" applyFont="1" applyFill="1" applyBorder="1" applyAlignment="1" applyProtection="1">
      <alignment horizontal="center" vertical="center"/>
      <protection hidden="1"/>
    </xf>
    <xf numFmtId="0" fontId="15" fillId="45" borderId="98" xfId="0" applyFont="1" applyFill="1" applyBorder="1" applyAlignment="1" applyProtection="1">
      <alignment horizontal="center" vertical="center"/>
      <protection hidden="1"/>
    </xf>
    <xf numFmtId="0" fontId="15" fillId="45" borderId="73" xfId="0" applyFont="1" applyFill="1" applyBorder="1" applyAlignment="1" applyProtection="1">
      <alignment horizontal="center" vertical="center"/>
      <protection hidden="1"/>
    </xf>
    <xf numFmtId="0" fontId="15" fillId="45" borderId="6" xfId="0" applyFont="1" applyFill="1" applyBorder="1" applyAlignment="1" applyProtection="1">
      <alignment horizontal="center" vertical="center"/>
      <protection hidden="1"/>
    </xf>
    <xf numFmtId="173" fontId="59" fillId="45" borderId="70" xfId="0" applyNumberFormat="1" applyFont="1" applyFill="1" applyBorder="1" applyAlignment="1" applyProtection="1">
      <alignment horizontal="center" vertical="center"/>
      <protection hidden="1"/>
    </xf>
    <xf numFmtId="173" fontId="59" fillId="45" borderId="60" xfId="0" applyNumberFormat="1" applyFont="1" applyFill="1" applyBorder="1" applyAlignment="1" applyProtection="1">
      <alignment horizontal="center" vertical="center"/>
      <protection hidden="1"/>
    </xf>
    <xf numFmtId="173" fontId="59" fillId="45" borderId="105" xfId="0" applyNumberFormat="1" applyFont="1" applyFill="1" applyBorder="1" applyAlignment="1" applyProtection="1">
      <alignment horizontal="center" vertical="center"/>
      <protection hidden="1"/>
    </xf>
    <xf numFmtId="173" fontId="59" fillId="45" borderId="7" xfId="0" applyNumberFormat="1" applyFont="1" applyFill="1" applyBorder="1" applyAlignment="1" applyProtection="1">
      <alignment horizontal="center" vertical="center"/>
      <protection hidden="1"/>
    </xf>
    <xf numFmtId="0" fontId="7" fillId="45" borderId="74" xfId="0" applyFont="1" applyFill="1" applyBorder="1" applyAlignment="1" applyProtection="1">
      <alignment horizontal="center" vertical="center" wrapText="1"/>
      <protection locked="0"/>
    </xf>
    <xf numFmtId="0" fontId="7" fillId="45" borderId="77" xfId="0" applyFont="1" applyFill="1" applyBorder="1" applyAlignment="1" applyProtection="1">
      <alignment horizontal="center" vertical="center" wrapText="1"/>
      <protection hidden="1"/>
    </xf>
    <xf numFmtId="0" fontId="7" fillId="45" borderId="95" xfId="0" applyFont="1" applyFill="1" applyBorder="1" applyAlignment="1" applyProtection="1">
      <alignment horizontal="center" vertical="center" wrapText="1"/>
      <protection hidden="1"/>
    </xf>
    <xf numFmtId="0" fontId="7" fillId="45" borderId="74" xfId="12" applyFont="1" applyFill="1" applyBorder="1" applyAlignment="1">
      <alignment horizontal="center" vertical="center" wrapText="1"/>
    </xf>
    <xf numFmtId="0" fontId="7" fillId="45" borderId="89" xfId="12" applyFont="1" applyFill="1" applyBorder="1" applyAlignment="1">
      <alignment horizontal="center" vertical="center" wrapText="1"/>
    </xf>
  </cellXfs>
  <cellStyles count="229"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2-decimales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ulation" xfId="47"/>
    <cellStyle name="Check Cell" xfId="48"/>
    <cellStyle name="CIENTOS" xfId="49"/>
    <cellStyle name="CIENTOS 2D" xfId="50"/>
    <cellStyle name="CIENTOS 3D" xfId="51"/>
    <cellStyle name="CIENTOS 4D" xfId="52"/>
    <cellStyle name="CIENTOS_ANALISIS UNITARIO CONCRETO DE 3000 PSI Y VARIOS (ACERO GRADO 60)" xfId="53"/>
    <cellStyle name="Comma" xfId="54"/>
    <cellStyle name="Comma0" xfId="55"/>
    <cellStyle name="Comma0 - Modelo5" xfId="56"/>
    <cellStyle name="Comma1 - Modelo1" xfId="57"/>
    <cellStyle name="Curren - Modelo2" xfId="58"/>
    <cellStyle name="Currency" xfId="59"/>
    <cellStyle name="Currency0" xfId="60"/>
    <cellStyle name="Date" xfId="61"/>
    <cellStyle name="Énfasis 1" xfId="62"/>
    <cellStyle name="Énfasis 2" xfId="63"/>
    <cellStyle name="Énfasis 3" xfId="64"/>
    <cellStyle name="Énfasis1 - 20%" xfId="65"/>
    <cellStyle name="Énfasis1 - 40%" xfId="66"/>
    <cellStyle name="Énfasis1 - 60%" xfId="67"/>
    <cellStyle name="Énfasis2 - 20%" xfId="68"/>
    <cellStyle name="Énfasis2 - 40%" xfId="69"/>
    <cellStyle name="Énfasis2 - 60%" xfId="70"/>
    <cellStyle name="Énfasis3 - 20%" xfId="71"/>
    <cellStyle name="Énfasis3 - 40%" xfId="72"/>
    <cellStyle name="Énfasis3 - 60%" xfId="73"/>
    <cellStyle name="Énfasis4 - 20%" xfId="74"/>
    <cellStyle name="Énfasis4 - 40%" xfId="75"/>
    <cellStyle name="Énfasis4 - 60%" xfId="76"/>
    <cellStyle name="Énfasis5 - 20%" xfId="77"/>
    <cellStyle name="Énfasis5 - 40%" xfId="78"/>
    <cellStyle name="Énfasis5 - 60%" xfId="79"/>
    <cellStyle name="Énfasis6 - 20%" xfId="80"/>
    <cellStyle name="Énfasis6 - 40%" xfId="81"/>
    <cellStyle name="Énfasis6 - 60%" xfId="82"/>
    <cellStyle name="ENTERO" xfId="83"/>
    <cellStyle name="Estilo 1" xfId="1"/>
    <cellStyle name="Euro" xfId="2"/>
    <cellStyle name="Euro 2" xfId="84"/>
    <cellStyle name="Euro 3" xfId="212"/>
    <cellStyle name="Explanatory Text" xfId="85"/>
    <cellStyle name="F2" xfId="86"/>
    <cellStyle name="F3" xfId="87"/>
    <cellStyle name="F4" xfId="88"/>
    <cellStyle name="F5" xfId="89"/>
    <cellStyle name="F6" xfId="90"/>
    <cellStyle name="F7" xfId="91"/>
    <cellStyle name="F8" xfId="92"/>
    <cellStyle name="Fixed" xfId="93"/>
    <cellStyle name="Good" xfId="94"/>
    <cellStyle name="GRADOSMINSEG" xfId="95"/>
    <cellStyle name="Heading 1" xfId="96"/>
    <cellStyle name="Heading 2" xfId="97"/>
    <cellStyle name="Heading 3" xfId="98"/>
    <cellStyle name="Heading 4" xfId="99"/>
    <cellStyle name="Heading1" xfId="100"/>
    <cellStyle name="Heading2" xfId="101"/>
    <cellStyle name="Hipervínculo 2" xfId="102"/>
    <cellStyle name="Input" xfId="103"/>
    <cellStyle name="Linked Cell" xfId="104"/>
    <cellStyle name="MILE DE MILLONES" xfId="105"/>
    <cellStyle name="MILES" xfId="106"/>
    <cellStyle name="Millares" xfId="3" builtinId="3"/>
    <cellStyle name="Millares [0] 2" xfId="107"/>
    <cellStyle name="Millares [0] 2 2" xfId="214"/>
    <cellStyle name="Millares [0] 3" xfId="108"/>
    <cellStyle name="Millares [0] 3 2" xfId="109"/>
    <cellStyle name="Millares [0] 4" xfId="110"/>
    <cellStyle name="Millares [0] 4 2" xfId="111"/>
    <cellStyle name="Millares [0] 5" xfId="112"/>
    <cellStyle name="Millares [0] 5 2" xfId="113"/>
    <cellStyle name="Millares 10" xfId="114"/>
    <cellStyle name="Millares 10 2" xfId="115"/>
    <cellStyle name="Millares 10 3" xfId="116"/>
    <cellStyle name="Millares 10 4" xfId="117"/>
    <cellStyle name="Millares 10 5" xfId="118"/>
    <cellStyle name="Millares 10 6" xfId="119"/>
    <cellStyle name="Millares 11" xfId="120"/>
    <cellStyle name="Millares 12" xfId="121"/>
    <cellStyle name="Millares 13" xfId="122"/>
    <cellStyle name="Millares 14" xfId="123"/>
    <cellStyle name="Millares 15" xfId="124"/>
    <cellStyle name="Millares 16" xfId="125"/>
    <cellStyle name="Millares 17" xfId="126"/>
    <cellStyle name="Millares 18" xfId="127"/>
    <cellStyle name="Millares 19" xfId="128"/>
    <cellStyle name="Millares 2" xfId="4"/>
    <cellStyle name="Millares 2 2" xfId="129"/>
    <cellStyle name="Millares 2 2 2" xfId="217"/>
    <cellStyle name="Millares 2 3" xfId="130"/>
    <cellStyle name="Millares 2 4" xfId="19"/>
    <cellStyle name="Millares 2 5" xfId="216"/>
    <cellStyle name="Millares 20" xfId="131"/>
    <cellStyle name="Millares 21" xfId="132"/>
    <cellStyle name="Millares 22" xfId="133"/>
    <cellStyle name="Millares 23" xfId="134"/>
    <cellStyle name="Millares 24" xfId="135"/>
    <cellStyle name="Millares 25" xfId="136"/>
    <cellStyle name="Millares 26" xfId="137"/>
    <cellStyle name="Millares 27" xfId="138"/>
    <cellStyle name="Millares 28" xfId="139"/>
    <cellStyle name="Millares 29" xfId="140"/>
    <cellStyle name="Millares 3" xfId="5"/>
    <cellStyle name="Millares 3 2" xfId="142"/>
    <cellStyle name="Millares 3 3" xfId="143"/>
    <cellStyle name="Millares 3 4" xfId="141"/>
    <cellStyle name="Millares 3_6._Presupuesto General Señalización" xfId="144"/>
    <cellStyle name="Millares 30" xfId="145"/>
    <cellStyle name="Millares 31" xfId="146"/>
    <cellStyle name="Millares 32" xfId="147"/>
    <cellStyle name="Millares 33" xfId="148"/>
    <cellStyle name="Millares 34" xfId="149"/>
    <cellStyle name="Millares 35" xfId="150"/>
    <cellStyle name="Millares 36" xfId="16"/>
    <cellStyle name="Millares 37" xfId="184"/>
    <cellStyle name="Millares 38" xfId="223"/>
    <cellStyle name="Millares 39" xfId="213"/>
    <cellStyle name="Millares 4" xfId="151"/>
    <cellStyle name="Millares 4 2" xfId="152"/>
    <cellStyle name="Millares 40" xfId="215"/>
    <cellStyle name="Millares 5" xfId="153"/>
    <cellStyle name="Millares 5 2" xfId="154"/>
    <cellStyle name="Millares 6" xfId="155"/>
    <cellStyle name="Millares 6 2" xfId="156"/>
    <cellStyle name="Millares 7" xfId="157"/>
    <cellStyle name="Millares 7 2" xfId="218"/>
    <cellStyle name="Millares 8" xfId="158"/>
    <cellStyle name="Millares 8 2" xfId="159"/>
    <cellStyle name="Millares 8 3" xfId="160"/>
    <cellStyle name="Millares 8 4" xfId="161"/>
    <cellStyle name="Millares 8 5" xfId="162"/>
    <cellStyle name="Millares 8 6" xfId="163"/>
    <cellStyle name="Millares 8 7" xfId="164"/>
    <cellStyle name="Millares 9" xfId="165"/>
    <cellStyle name="Millares_PtosLicitacionesSRTaño03" xfId="6"/>
    <cellStyle name="MILLONES" xfId="166"/>
    <cellStyle name="Moneda" xfId="7" builtinId="4"/>
    <cellStyle name="Moneda [00]" xfId="167"/>
    <cellStyle name="Moneda [2]" xfId="168"/>
    <cellStyle name="Moneda 12" xfId="169"/>
    <cellStyle name="Moneda 2" xfId="8"/>
    <cellStyle name="Moneda 2 2" xfId="170"/>
    <cellStyle name="Moneda 2 3" xfId="225"/>
    <cellStyle name="Moneda 3" xfId="171"/>
    <cellStyle name="Moneda 3 2" xfId="172"/>
    <cellStyle name="Moneda 3 3" xfId="220"/>
    <cellStyle name="Moneda 4" xfId="173"/>
    <cellStyle name="Moneda 5" xfId="17"/>
    <cellStyle name="Moneda 6" xfId="182"/>
    <cellStyle name="Moneda 7" xfId="222"/>
    <cellStyle name="Moneda 8" xfId="219"/>
    <cellStyle name="Moneda 9" xfId="211"/>
    <cellStyle name="Moneda_PtosLicitacionesSRTaño03" xfId="9"/>
    <cellStyle name="No. punto" xfId="174"/>
    <cellStyle name="Normal" xfId="0" builtinId="0"/>
    <cellStyle name="Normal 10" xfId="227"/>
    <cellStyle name="Normal 2" xfId="10"/>
    <cellStyle name="Normal 2 10" xfId="175"/>
    <cellStyle name="Normal 2 10 2" xfId="176"/>
    <cellStyle name="Normal 2 10 3" xfId="177"/>
    <cellStyle name="Normal 2 2" xfId="11"/>
    <cellStyle name="Normal 2 2 2" xfId="178"/>
    <cellStyle name="Normal 2 3" xfId="179"/>
    <cellStyle name="Normal 2 4" xfId="180"/>
    <cellStyle name="Normal 2_INFORME CTO. 52-2009 CONSORCIO H.L." xfId="181"/>
    <cellStyle name="Normal 3" xfId="12"/>
    <cellStyle name="Normal 3 2" xfId="183"/>
    <cellStyle name="Normal 4" xfId="13"/>
    <cellStyle name="Normal 4 2" xfId="221"/>
    <cellStyle name="Normal 5" xfId="185"/>
    <cellStyle name="Normal 5 2" xfId="186"/>
    <cellStyle name="Normal 5 3" xfId="187"/>
    <cellStyle name="Normal 6" xfId="15"/>
    <cellStyle name="Normal 7" xfId="20"/>
    <cellStyle name="Normal 8" xfId="224"/>
    <cellStyle name="Normal 9" xfId="226"/>
    <cellStyle name="Note" xfId="188"/>
    <cellStyle name="Output" xfId="189"/>
    <cellStyle name="Percen - Modelo3" xfId="190"/>
    <cellStyle name="Percent" xfId="191"/>
    <cellStyle name="Porcentaje" xfId="228" builtinId="5"/>
    <cellStyle name="Porcentaje 2" xfId="192"/>
    <cellStyle name="Porcentaje 3" xfId="18"/>
    <cellStyle name="Porcentual 2" xfId="14"/>
    <cellStyle name="Porcentual 2 2" xfId="193"/>
    <cellStyle name="Porcentual 2 2 2" xfId="194"/>
    <cellStyle name="Porcentual 2 3" xfId="195"/>
    <cellStyle name="Porcentual 2 4" xfId="196"/>
    <cellStyle name="Porcentual 2 5" xfId="197"/>
    <cellStyle name="Porcentual 2 6" xfId="198"/>
    <cellStyle name="Porcentual 3" xfId="199"/>
    <cellStyle name="Porcentual 3 2" xfId="200"/>
    <cellStyle name="Porcentual 4" xfId="201"/>
    <cellStyle name="Porcentual 4 2" xfId="202"/>
    <cellStyle name="Porcentual 5" xfId="203"/>
    <cellStyle name="Porcentual 5 2" xfId="204"/>
    <cellStyle name="Porcentual 6" xfId="205"/>
    <cellStyle name="Porcentual 7" xfId="206"/>
    <cellStyle name="Title" xfId="207"/>
    <cellStyle name="TITULO" xfId="208"/>
    <cellStyle name="Título de hoja" xfId="209"/>
    <cellStyle name="Warning Text" xfId="210"/>
  </cellStyles>
  <dxfs count="172">
    <dxf>
      <font>
        <b/>
        <i val="0"/>
      </font>
      <fill>
        <patternFill>
          <bgColor rgb="FFFFCCFF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CCFF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rgb="FFFFCCFF"/>
        </patternFill>
      </fill>
    </dxf>
    <dxf>
      <font>
        <b/>
        <i val="0"/>
        <color auto="1"/>
        <name val="Cambria"/>
        <scheme val="none"/>
      </font>
      <fill>
        <patternFill>
          <bgColor rgb="FF66FFFF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9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3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99CCFF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B8CCE4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inyurl.com/y9xc8la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545024</xdr:colOff>
      <xdr:row>12</xdr:row>
      <xdr:rowOff>22860</xdr:rowOff>
    </xdr:from>
    <xdr:to>
      <xdr:col>5</xdr:col>
      <xdr:colOff>748436</xdr:colOff>
      <xdr:row>13</xdr:row>
      <xdr:rowOff>12277</xdr:rowOff>
    </xdr:to>
    <xdr:pic>
      <xdr:nvPicPr>
        <xdr:cNvPr id="423999" name="1 Imagen" descr="Exportable a varios formatos - TRM diari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774" y="2573443"/>
          <a:ext cx="203412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FF00"/>
  </sheetPr>
  <dimension ref="A1:L27"/>
  <sheetViews>
    <sheetView showGridLines="0" topLeftCell="A11" zoomScale="110" zoomScaleNormal="110" workbookViewId="0">
      <selection activeCell="D18" sqref="D18"/>
    </sheetView>
  </sheetViews>
  <sheetFormatPr baseColWidth="10" defaultColWidth="11.42578125" defaultRowHeight="12.75" x14ac:dyDescent="0.2"/>
  <cols>
    <col min="1" max="1" width="3" style="2" customWidth="1"/>
    <col min="2" max="2" width="15.140625" style="2" customWidth="1"/>
    <col min="3" max="3" width="15.5703125" style="2" customWidth="1"/>
    <col min="4" max="4" width="58.140625" style="2" customWidth="1"/>
    <col min="5" max="5" width="15.7109375" style="2" customWidth="1"/>
    <col min="6" max="6" width="13.5703125" style="17" hidden="1" customWidth="1"/>
    <col min="7" max="7" width="26.5703125" style="17" customWidth="1"/>
    <col min="8" max="8" width="18.85546875" style="17" hidden="1" customWidth="1"/>
    <col min="9" max="9" width="2.140625" style="17" hidden="1" customWidth="1"/>
    <col min="10" max="16384" width="11.42578125" style="2"/>
  </cols>
  <sheetData>
    <row r="1" spans="1:12" s="33" customFormat="1" ht="20.100000000000001" customHeight="1" x14ac:dyDescent="0.25">
      <c r="B1" s="325" t="s">
        <v>103</v>
      </c>
      <c r="C1" s="325"/>
      <c r="D1" s="325"/>
      <c r="E1" s="325"/>
      <c r="F1" s="325"/>
      <c r="G1" s="325"/>
      <c r="H1" s="325"/>
      <c r="I1" s="325"/>
    </row>
    <row r="2" spans="1:12" s="33" customFormat="1" ht="20.100000000000001" customHeight="1" x14ac:dyDescent="0.25">
      <c r="B2" s="326"/>
      <c r="C2" s="326"/>
      <c r="D2" s="326"/>
      <c r="E2" s="326"/>
      <c r="F2" s="326"/>
      <c r="G2" s="326"/>
      <c r="H2" s="326"/>
      <c r="I2" s="326"/>
    </row>
    <row r="3" spans="1:12" s="33" customFormat="1" ht="20.100000000000001" customHeight="1" x14ac:dyDescent="0.25">
      <c r="B3" s="326" t="s">
        <v>104</v>
      </c>
      <c r="C3" s="326"/>
      <c r="D3" s="326"/>
      <c r="E3" s="326"/>
      <c r="F3" s="326"/>
      <c r="G3" s="326"/>
      <c r="H3" s="326"/>
      <c r="I3" s="326"/>
    </row>
    <row r="4" spans="1:12" s="33" customFormat="1" ht="18" x14ac:dyDescent="0.25">
      <c r="B4" s="326"/>
      <c r="C4" s="326"/>
      <c r="D4" s="326"/>
      <c r="E4" s="326"/>
      <c r="F4" s="326"/>
      <c r="G4" s="326"/>
      <c r="H4" s="326"/>
      <c r="I4" s="326"/>
    </row>
    <row r="5" spans="1:12" s="33" customFormat="1" ht="25.5" customHeight="1" x14ac:dyDescent="0.25">
      <c r="A5" s="38"/>
      <c r="B5" s="326" t="s">
        <v>122</v>
      </c>
      <c r="C5" s="326"/>
      <c r="D5" s="326"/>
      <c r="E5" s="326"/>
      <c r="F5" s="326"/>
      <c r="G5" s="326"/>
      <c r="H5" s="326"/>
      <c r="I5" s="326"/>
    </row>
    <row r="6" spans="1:12" s="33" customFormat="1" ht="18.75" x14ac:dyDescent="0.25">
      <c r="A6" s="38"/>
      <c r="B6" s="254"/>
      <c r="C6" s="254"/>
      <c r="D6" s="255"/>
      <c r="E6" s="255"/>
      <c r="F6" s="255"/>
      <c r="G6" s="255"/>
      <c r="H6" s="255"/>
      <c r="I6" s="255"/>
    </row>
    <row r="7" spans="1:12" s="33" customFormat="1" ht="46.5" customHeight="1" x14ac:dyDescent="0.25">
      <c r="A7" s="38"/>
      <c r="B7" s="326" t="s">
        <v>123</v>
      </c>
      <c r="C7" s="326"/>
      <c r="D7" s="326"/>
      <c r="E7" s="326"/>
      <c r="F7" s="326"/>
      <c r="G7" s="326"/>
      <c r="H7" s="326"/>
      <c r="I7" s="326"/>
    </row>
    <row r="8" spans="1:12" s="33" customFormat="1" ht="18.75" x14ac:dyDescent="0.25">
      <c r="A8" s="38"/>
      <c r="B8" s="49"/>
      <c r="C8" s="49"/>
      <c r="D8" s="48"/>
      <c r="E8" s="48"/>
      <c r="F8" s="48"/>
      <c r="G8" s="48"/>
      <c r="H8" s="48"/>
      <c r="I8" s="48"/>
    </row>
    <row r="9" spans="1:12" s="33" customFormat="1" ht="18.75" x14ac:dyDescent="0.25">
      <c r="A9" s="38"/>
      <c r="B9" s="49"/>
      <c r="C9" s="49"/>
      <c r="D9" s="48"/>
      <c r="E9" s="48"/>
      <c r="F9" s="48"/>
      <c r="G9" s="48"/>
      <c r="H9" s="48"/>
      <c r="I9" s="48"/>
    </row>
    <row r="10" spans="1:12" ht="13.5" customHeight="1" x14ac:dyDescent="0.2">
      <c r="B10" s="343" t="s">
        <v>21</v>
      </c>
      <c r="C10" s="343"/>
      <c r="D10" s="343"/>
      <c r="E10" s="343"/>
      <c r="F10" s="343"/>
      <c r="G10" s="343"/>
      <c r="H10" s="343"/>
      <c r="I10" s="343"/>
      <c r="L10" s="40"/>
    </row>
    <row r="11" spans="1:12" ht="13.5" customHeight="1" thickBot="1" x14ac:dyDescent="0.25">
      <c r="B11" s="344" t="s">
        <v>15</v>
      </c>
      <c r="C11" s="344"/>
      <c r="D11" s="344"/>
      <c r="E11" s="344"/>
      <c r="F11" s="344"/>
      <c r="G11" s="344"/>
      <c r="H11" s="344"/>
      <c r="I11" s="344"/>
    </row>
    <row r="12" spans="1:12" ht="45" customHeight="1" thickTop="1" x14ac:dyDescent="0.2">
      <c r="B12" s="337" t="s">
        <v>36</v>
      </c>
      <c r="C12" s="339" t="s">
        <v>78</v>
      </c>
      <c r="D12" s="335" t="s">
        <v>79</v>
      </c>
      <c r="E12" s="339" t="s">
        <v>16</v>
      </c>
      <c r="F12" s="345" t="s">
        <v>17</v>
      </c>
      <c r="G12" s="346"/>
      <c r="H12" s="258"/>
      <c r="I12" s="341"/>
    </row>
    <row r="13" spans="1:12" ht="59.25" customHeight="1" thickBot="1" x14ac:dyDescent="0.25">
      <c r="B13" s="338"/>
      <c r="C13" s="340"/>
      <c r="D13" s="336"/>
      <c r="E13" s="340"/>
      <c r="F13" s="257"/>
      <c r="G13" s="260" t="s">
        <v>73</v>
      </c>
      <c r="H13" s="259"/>
      <c r="I13" s="342"/>
    </row>
    <row r="14" spans="1:12" ht="4.5" customHeight="1" x14ac:dyDescent="0.2">
      <c r="B14" s="51"/>
      <c r="C14" s="77"/>
      <c r="D14" s="52"/>
      <c r="E14" s="52"/>
      <c r="F14" s="249"/>
      <c r="G14" s="261"/>
      <c r="H14" s="249"/>
      <c r="I14" s="60"/>
      <c r="J14" s="200"/>
    </row>
    <row r="15" spans="1:12" x14ac:dyDescent="0.2">
      <c r="B15" s="161">
        <v>1</v>
      </c>
      <c r="C15" s="162">
        <v>4</v>
      </c>
      <c r="D15" s="251" t="s">
        <v>266</v>
      </c>
      <c r="E15" s="163" t="s">
        <v>8</v>
      </c>
      <c r="F15" s="164"/>
      <c r="G15" s="164">
        <v>100</v>
      </c>
      <c r="H15" s="234"/>
      <c r="I15" s="164"/>
      <c r="J15" s="200"/>
    </row>
    <row r="16" spans="1:12" x14ac:dyDescent="0.2">
      <c r="B16" s="161">
        <v>2</v>
      </c>
      <c r="C16" s="162">
        <v>8</v>
      </c>
      <c r="D16" s="251" t="s">
        <v>267</v>
      </c>
      <c r="E16" s="163" t="s">
        <v>12</v>
      </c>
      <c r="F16" s="164"/>
      <c r="G16" s="164">
        <v>100</v>
      </c>
      <c r="H16" s="234"/>
      <c r="I16" s="164"/>
      <c r="J16" s="200"/>
    </row>
    <row r="17" spans="2:10" x14ac:dyDescent="0.2">
      <c r="B17" s="161">
        <v>3</v>
      </c>
      <c r="C17" s="162">
        <v>10</v>
      </c>
      <c r="D17" s="251" t="s">
        <v>268</v>
      </c>
      <c r="E17" s="163" t="s">
        <v>12</v>
      </c>
      <c r="F17" s="164"/>
      <c r="G17" s="164">
        <v>100</v>
      </c>
      <c r="H17" s="234"/>
      <c r="I17" s="164"/>
      <c r="J17" s="200"/>
    </row>
    <row r="18" spans="2:10" x14ac:dyDescent="0.2">
      <c r="B18" s="161">
        <v>5</v>
      </c>
      <c r="C18" s="162">
        <v>22</v>
      </c>
      <c r="D18" s="251" t="s">
        <v>269</v>
      </c>
      <c r="E18" s="163" t="s">
        <v>8</v>
      </c>
      <c r="F18" s="164"/>
      <c r="G18" s="164">
        <v>100</v>
      </c>
      <c r="H18" s="234"/>
      <c r="I18" s="164"/>
      <c r="J18" s="200"/>
    </row>
    <row r="19" spans="2:10" x14ac:dyDescent="0.2">
      <c r="B19" s="161">
        <v>6</v>
      </c>
      <c r="C19" s="162">
        <v>26</v>
      </c>
      <c r="D19" s="251" t="s">
        <v>270</v>
      </c>
      <c r="E19" s="163" t="s">
        <v>8</v>
      </c>
      <c r="F19" s="164"/>
      <c r="G19" s="164">
        <v>100</v>
      </c>
      <c r="H19" s="234"/>
      <c r="I19" s="164"/>
      <c r="J19" s="200"/>
    </row>
    <row r="20" spans="2:10" x14ac:dyDescent="0.2">
      <c r="B20" s="161">
        <v>7</v>
      </c>
      <c r="C20" s="162">
        <v>29</v>
      </c>
      <c r="D20" s="251" t="s">
        <v>271</v>
      </c>
      <c r="E20" s="163" t="s">
        <v>12</v>
      </c>
      <c r="F20" s="164"/>
      <c r="G20" s="164">
        <v>100</v>
      </c>
      <c r="H20" s="234"/>
      <c r="I20" s="164"/>
      <c r="J20" s="200"/>
    </row>
    <row r="21" spans="2:10" x14ac:dyDescent="0.2">
      <c r="B21" s="161">
        <v>8</v>
      </c>
      <c r="C21" s="162">
        <v>31</v>
      </c>
      <c r="D21" s="251" t="s">
        <v>272</v>
      </c>
      <c r="E21" s="163" t="s">
        <v>8</v>
      </c>
      <c r="F21" s="164"/>
      <c r="G21" s="164">
        <v>100</v>
      </c>
      <c r="H21" s="234"/>
      <c r="I21" s="164"/>
      <c r="J21" s="200"/>
    </row>
    <row r="22" spans="2:10" ht="5.25" customHeight="1" thickBot="1" x14ac:dyDescent="0.25">
      <c r="B22" s="333"/>
      <c r="C22" s="334"/>
      <c r="D22" s="334"/>
      <c r="E22" s="334"/>
      <c r="F22" s="57"/>
      <c r="G22" s="57"/>
      <c r="H22" s="248"/>
      <c r="I22" s="57"/>
      <c r="J22" s="200"/>
    </row>
    <row r="23" spans="2:10" ht="13.5" thickTop="1" x14ac:dyDescent="0.2">
      <c r="B23" s="327" t="s">
        <v>18</v>
      </c>
      <c r="C23" s="328"/>
      <c r="D23" s="165" t="s">
        <v>8</v>
      </c>
      <c r="E23" s="53">
        <f>COUNTIF($E$15:$E$21,D23)</f>
        <v>4</v>
      </c>
      <c r="F23" s="71"/>
      <c r="G23" s="235"/>
      <c r="H23" s="72"/>
      <c r="I23" s="235"/>
    </row>
    <row r="24" spans="2:10" x14ac:dyDescent="0.2">
      <c r="B24" s="329"/>
      <c r="C24" s="330"/>
      <c r="D24" s="166" t="s">
        <v>7</v>
      </c>
      <c r="E24" s="54">
        <f>COUNTIF($E$15:$E$21,D24)</f>
        <v>0</v>
      </c>
      <c r="F24" s="56"/>
      <c r="G24" s="61"/>
      <c r="H24" s="57"/>
      <c r="I24" s="61"/>
    </row>
    <row r="25" spans="2:10" x14ac:dyDescent="0.2">
      <c r="B25" s="329"/>
      <c r="C25" s="330"/>
      <c r="D25" s="167" t="s">
        <v>12</v>
      </c>
      <c r="E25" s="78">
        <f>COUNTIF($E$15:$E$21,D25)</f>
        <v>3</v>
      </c>
      <c r="F25" s="56"/>
      <c r="G25" s="61"/>
      <c r="H25" s="57"/>
      <c r="I25" s="61"/>
    </row>
    <row r="26" spans="2:10" ht="13.5" thickBot="1" x14ac:dyDescent="0.25">
      <c r="B26" s="331"/>
      <c r="C26" s="332"/>
      <c r="D26" s="288" t="s">
        <v>38</v>
      </c>
      <c r="E26" s="55">
        <f>SUM(E23:E25)</f>
        <v>7</v>
      </c>
      <c r="F26" s="58"/>
      <c r="G26" s="236"/>
      <c r="H26" s="59"/>
      <c r="I26" s="236"/>
    </row>
    <row r="27" spans="2:10" ht="13.5" thickTop="1" x14ac:dyDescent="0.2"/>
  </sheetData>
  <sheetProtection selectLockedCells="1"/>
  <mergeCells count="16">
    <mergeCell ref="B23:C26"/>
    <mergeCell ref="B4:I4"/>
    <mergeCell ref="B22:E22"/>
    <mergeCell ref="D12:D13"/>
    <mergeCell ref="B12:B13"/>
    <mergeCell ref="E12:E13"/>
    <mergeCell ref="C12:C13"/>
    <mergeCell ref="I12:I13"/>
    <mergeCell ref="B10:I10"/>
    <mergeCell ref="B11:I11"/>
    <mergeCell ref="F12:G12"/>
    <mergeCell ref="B1:I1"/>
    <mergeCell ref="B2:I2"/>
    <mergeCell ref="B3:I3"/>
    <mergeCell ref="B5:I5"/>
    <mergeCell ref="B7:I7"/>
  </mergeCells>
  <phoneticPr fontId="0" type="noConversion"/>
  <conditionalFormatting sqref="B15:I21">
    <cfRule type="expression" dxfId="171" priority="28">
      <formula>MOD(ROW(),2)</formula>
    </cfRule>
  </conditionalFormatting>
  <conditionalFormatting sqref="E24">
    <cfRule type="cellIs" dxfId="170" priority="11" operator="greaterThan">
      <formula>0</formula>
    </cfRule>
  </conditionalFormatting>
  <conditionalFormatting sqref="E15:E21">
    <cfRule type="cellIs" dxfId="169" priority="8" operator="equal">
      <formula>"RECHAZO"</formula>
    </cfRule>
    <cfRule type="cellIs" dxfId="168" priority="9" operator="equal">
      <formula>"NO ADMISIBLE"</formula>
    </cfRule>
    <cfRule type="cellIs" dxfId="167" priority="10" operator="equal">
      <formula>"ADMISIBLE"</formula>
    </cfRule>
  </conditionalFormatting>
  <conditionalFormatting sqref="F15:H21">
    <cfRule type="cellIs" dxfId="166" priority="2" operator="equal">
      <formula>0</formula>
    </cfRule>
  </conditionalFormatting>
  <conditionalFormatting sqref="I15:I21">
    <cfRule type="cellIs" dxfId="165" priority="1" operator="equal">
      <formula>"NO"</formula>
    </cfRule>
  </conditionalFormatting>
  <dataValidations count="1">
    <dataValidation type="list" allowBlank="1" showInputMessage="1" showErrorMessage="1" sqref="E15:E21">
      <formula1>RESULTADO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53" orientation="portrait" horizontalDpi="1200" verticalDpi="1200" r:id="rId1"/>
  <headerFooter alignWithMargins="0">
    <oddFooter>&amp;L&amp;9&amp;F
&amp;A&amp;C&amp;P de &amp;N&amp;R&amp;9INSTITUTO NACIONAL DE VIAS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-0.249977111117893"/>
  </sheetPr>
  <dimension ref="A1:YT192"/>
  <sheetViews>
    <sheetView showGridLines="0" tabSelected="1" topLeftCell="B10" zoomScale="80" zoomScaleNormal="80" zoomScaleSheetLayoutView="55" workbookViewId="0">
      <pane xSplit="7" ySplit="3" topLeftCell="U94" activePane="bottomRight" state="frozen"/>
      <selection activeCell="B10" sqref="B10"/>
      <selection pane="topRight" activeCell="I10" sqref="I10"/>
      <selection pane="bottomLeft" activeCell="B13" sqref="B13"/>
      <selection pane="bottomRight" activeCell="U100" sqref="U100:W103"/>
    </sheetView>
  </sheetViews>
  <sheetFormatPr baseColWidth="10" defaultColWidth="0" defaultRowHeight="12.75" x14ac:dyDescent="0.2"/>
  <cols>
    <col min="1" max="1" width="2.7109375" style="2" customWidth="1"/>
    <col min="2" max="2" width="5.140625" style="15" customWidth="1"/>
    <col min="3" max="3" width="9.5703125" style="15" customWidth="1"/>
    <col min="4" max="4" width="45.7109375" style="2" customWidth="1"/>
    <col min="5" max="5" width="10.140625" style="2" customWidth="1"/>
    <col min="6" max="6" width="13.5703125" style="2" customWidth="1"/>
    <col min="7" max="7" width="18" style="12" customWidth="1"/>
    <col min="8" max="8" width="22.140625" style="2" customWidth="1"/>
    <col min="9" max="10" width="21.140625" style="12" customWidth="1"/>
    <col min="11" max="11" width="21.140625" style="16" customWidth="1"/>
    <col min="12" max="29" width="21.140625" customWidth="1"/>
    <col min="30" max="30" width="16.5703125" customWidth="1"/>
    <col min="31" max="31" width="11.42578125" style="2" hidden="1" customWidth="1"/>
    <col min="32" max="666" width="0" style="2" hidden="1" customWidth="1"/>
    <col min="667" max="667" width="11.42578125" style="2" hidden="1" customWidth="1"/>
    <col min="668" max="669" width="0" style="2" hidden="1" customWidth="1"/>
    <col min="670" max="670" width="11.42578125" style="2" hidden="1" customWidth="1"/>
    <col min="671" max="16384" width="0" style="2" hidden="1"/>
  </cols>
  <sheetData>
    <row r="1" spans="1:30" s="34" customFormat="1" ht="20.100000000000001" customHeight="1" x14ac:dyDescent="0.25">
      <c r="A1" s="35"/>
      <c r="B1" s="325" t="str">
        <f>RESUMEN!B1</f>
        <v>FIDUPREVISORA</v>
      </c>
      <c r="C1" s="325"/>
      <c r="D1" s="325"/>
      <c r="E1" s="325"/>
      <c r="F1" s="325"/>
      <c r="G1" s="325"/>
      <c r="H1" s="325"/>
      <c r="I1" s="36"/>
      <c r="J1" s="35"/>
      <c r="K1" s="37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s="34" customFormat="1" ht="20.100000000000001" customHeight="1" x14ac:dyDescent="0.25">
      <c r="A2" s="35"/>
      <c r="B2" s="326"/>
      <c r="C2" s="326"/>
      <c r="D2" s="326"/>
      <c r="E2" s="326"/>
      <c r="F2" s="326"/>
      <c r="G2" s="326"/>
      <c r="H2" s="326"/>
      <c r="I2" s="36"/>
      <c r="J2" s="35"/>
      <c r="K2" s="3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s="34" customFormat="1" ht="40.5" customHeight="1" x14ac:dyDescent="0.25">
      <c r="A3" s="35"/>
      <c r="B3" s="326" t="str">
        <f>RESUMEN!B3</f>
        <v>PATRIMONIO AUTÓNOMO FIDEICOMISO ECOPETROL ZOMAC (en adelante PATRIMONIO AUTÓNOMO) FIDUCIARIA LA PREVISORA S.A.</v>
      </c>
      <c r="C3" s="326"/>
      <c r="D3" s="326"/>
      <c r="E3" s="326"/>
      <c r="F3" s="326"/>
      <c r="G3" s="326"/>
      <c r="H3" s="326"/>
      <c r="I3" s="36"/>
      <c r="J3" s="212"/>
      <c r="K3" s="37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34" customFormat="1" ht="20.100000000000001" customHeight="1" x14ac:dyDescent="0.25">
      <c r="A4" s="35"/>
      <c r="B4" s="326"/>
      <c r="C4" s="326"/>
      <c r="D4" s="326"/>
      <c r="E4" s="326"/>
      <c r="F4" s="326"/>
      <c r="G4" s="326"/>
      <c r="H4" s="326"/>
      <c r="I4" s="36"/>
      <c r="J4" s="213"/>
      <c r="K4" s="3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34" customFormat="1" ht="20.100000000000001" customHeight="1" x14ac:dyDescent="0.25">
      <c r="A5" s="35"/>
      <c r="B5" s="326" t="str">
        <f>RESUMEN!B5</f>
        <v>LICITACIÓN PRIVADA ABIERTA N° 006 DE 2018</v>
      </c>
      <c r="C5" s="326"/>
      <c r="D5" s="326"/>
      <c r="E5" s="326"/>
      <c r="F5" s="326"/>
      <c r="G5" s="326"/>
      <c r="H5" s="326"/>
      <c r="I5" s="36"/>
      <c r="J5" s="35"/>
      <c r="K5" s="3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34" customFormat="1" ht="18.75" x14ac:dyDescent="0.25">
      <c r="A6" s="35"/>
      <c r="B6" s="49"/>
      <c r="C6" s="31"/>
      <c r="D6" s="32"/>
      <c r="E6" s="32"/>
      <c r="F6" s="32"/>
      <c r="G6" s="32"/>
      <c r="H6" s="32"/>
      <c r="I6" s="36"/>
      <c r="J6" s="35"/>
      <c r="K6" s="3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34" customFormat="1" ht="36.75" customHeight="1" x14ac:dyDescent="0.25">
      <c r="A7" s="35"/>
      <c r="B7" s="326" t="str">
        <f>RESUMEN!B7</f>
        <v>PROYECTO No. 1: MEJORAMIENTO VÍA EL PAUJIL - CARTAGENA DEL CHAIRÁ; ETAPA 2 DEPARTAMENTO DEL CAQUETÁ VINCULADOS AL CONTRIBUYENTE ECOPETROL S.A. DENTRO DEL MARCO MECANISMO DE OBRAS POR IMPUESTO</v>
      </c>
      <c r="C7" s="326"/>
      <c r="D7" s="326"/>
      <c r="E7" s="326"/>
      <c r="F7" s="326"/>
      <c r="G7" s="326"/>
      <c r="H7" s="326"/>
      <c r="I7" s="36"/>
      <c r="J7" s="35"/>
      <c r="K7" s="3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34" customFormat="1" ht="18.75" x14ac:dyDescent="0.25">
      <c r="A8" s="35"/>
      <c r="B8" s="49"/>
      <c r="C8" s="31"/>
      <c r="D8" s="32"/>
      <c r="E8" s="32"/>
      <c r="F8" s="32"/>
      <c r="G8" s="32"/>
      <c r="H8" s="32"/>
      <c r="I8" s="36"/>
      <c r="J8" s="35"/>
      <c r="K8" s="3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17" customFormat="1" ht="13.5" thickBot="1" x14ac:dyDescent="0.25">
      <c r="A9" s="21"/>
      <c r="B9" s="343" t="s">
        <v>83</v>
      </c>
      <c r="C9" s="343"/>
      <c r="D9" s="343"/>
      <c r="E9" s="343"/>
      <c r="F9" s="343"/>
      <c r="G9" s="343"/>
      <c r="H9" s="343"/>
      <c r="I9" s="26"/>
      <c r="J9" s="25"/>
      <c r="K9" s="2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8" customFormat="1" ht="20.100000000000001" customHeight="1" thickTop="1" thickBot="1" x14ac:dyDescent="0.25">
      <c r="A10" s="18"/>
      <c r="B10" s="50"/>
      <c r="C10" s="13"/>
      <c r="D10" s="19"/>
      <c r="E10" s="20"/>
      <c r="F10" s="20"/>
      <c r="G10" s="24"/>
      <c r="H10" s="27"/>
      <c r="I10" s="353" t="str">
        <f>RESUMEN!$E$15</f>
        <v>ADMISIBLE</v>
      </c>
      <c r="J10" s="353"/>
      <c r="K10" s="353"/>
      <c r="L10" s="353" t="str">
        <f>RESUMEN!$E$16</f>
        <v>RECHAZO</v>
      </c>
      <c r="M10" s="353"/>
      <c r="N10" s="353"/>
      <c r="O10" s="353" t="str">
        <f>RESUMEN!$E$17</f>
        <v>RECHAZO</v>
      </c>
      <c r="P10" s="353"/>
      <c r="Q10" s="353"/>
      <c r="R10" s="353" t="str">
        <f>RESUMEN!$E$18</f>
        <v>ADMISIBLE</v>
      </c>
      <c r="S10" s="353"/>
      <c r="T10" s="353"/>
      <c r="U10" s="353" t="str">
        <f>RESUMEN!$E$19</f>
        <v>ADMISIBLE</v>
      </c>
      <c r="V10" s="353"/>
      <c r="W10" s="353"/>
      <c r="X10" s="353" t="str">
        <f>RESUMEN!$E$20</f>
        <v>RECHAZO</v>
      </c>
      <c r="Y10" s="353"/>
      <c r="Z10" s="353"/>
      <c r="AA10" s="353" t="str">
        <f>RESUMEN!$E$21</f>
        <v>ADMISIBLE</v>
      </c>
      <c r="AB10" s="353"/>
      <c r="AC10" s="353"/>
      <c r="AD10"/>
    </row>
    <row r="11" spans="1:30" s="9" customFormat="1" ht="20.25" customHeight="1" thickTop="1" x14ac:dyDescent="0.25">
      <c r="A11" s="22"/>
      <c r="B11" s="371"/>
      <c r="C11" s="371"/>
      <c r="D11" s="371"/>
      <c r="E11" s="371"/>
      <c r="F11" s="371"/>
      <c r="G11" s="371"/>
      <c r="H11" s="371"/>
      <c r="I11" s="354">
        <f>RESUMEN!$C$15</f>
        <v>4</v>
      </c>
      <c r="J11" s="354"/>
      <c r="K11" s="354"/>
      <c r="L11" s="354">
        <f>RESUMEN!$C$16</f>
        <v>8</v>
      </c>
      <c r="M11" s="354"/>
      <c r="N11" s="354"/>
      <c r="O11" s="354">
        <f>RESUMEN!$C$17</f>
        <v>10</v>
      </c>
      <c r="P11" s="354"/>
      <c r="Q11" s="354"/>
      <c r="R11" s="354">
        <f>RESUMEN!$C$18</f>
        <v>22</v>
      </c>
      <c r="S11" s="354"/>
      <c r="T11" s="354"/>
      <c r="U11" s="354">
        <f>RESUMEN!$C$19</f>
        <v>26</v>
      </c>
      <c r="V11" s="354"/>
      <c r="W11" s="354"/>
      <c r="X11" s="354">
        <f>RESUMEN!$C$20</f>
        <v>29</v>
      </c>
      <c r="Y11" s="354"/>
      <c r="Z11" s="354"/>
      <c r="AA11" s="354">
        <f>RESUMEN!$C$21</f>
        <v>31</v>
      </c>
      <c r="AB11" s="354"/>
      <c r="AC11" s="354"/>
      <c r="AD11"/>
    </row>
    <row r="12" spans="1:30" s="10" customFormat="1" ht="17.25" customHeight="1" thickBot="1" x14ac:dyDescent="0.25">
      <c r="A12" s="30"/>
      <c r="B12" s="372" t="s">
        <v>0</v>
      </c>
      <c r="C12" s="372"/>
      <c r="D12" s="372"/>
      <c r="E12" s="372"/>
      <c r="F12" s="372"/>
      <c r="G12" s="372"/>
      <c r="H12" s="372"/>
      <c r="I12" s="355" t="str">
        <f>RESUMEN!$D$15</f>
        <v>MAQUINARIA INGENIERIA CONSTRUCCIÓN Y OBRAS S.A.S</v>
      </c>
      <c r="J12" s="355"/>
      <c r="K12" s="355"/>
      <c r="L12" s="355" t="str">
        <f>RESUMEN!$D$16</f>
        <v>CONSORCIO VÍAS PG</v>
      </c>
      <c r="M12" s="355"/>
      <c r="N12" s="355"/>
      <c r="O12" s="355" t="str">
        <f>RESUMEN!$D$17</f>
        <v xml:space="preserve">CONSORCIO PUERTA DEL SOL </v>
      </c>
      <c r="P12" s="355"/>
      <c r="Q12" s="355"/>
      <c r="R12" s="355" t="str">
        <f>RESUMEN!$D$18</f>
        <v>UNIÓN TEMPORAL VÍA PAUCAR II</v>
      </c>
      <c r="S12" s="355"/>
      <c r="T12" s="355"/>
      <c r="U12" s="355" t="str">
        <f>RESUMEN!$D$19</f>
        <v>CONSORCIO VÍAS COLOMBIA 006</v>
      </c>
      <c r="V12" s="355"/>
      <c r="W12" s="355"/>
      <c r="X12" s="355" t="str">
        <f>RESUMEN!$D$20</f>
        <v>CONSORCIO VÍAS COLOMBIA 2019</v>
      </c>
      <c r="Y12" s="355"/>
      <c r="Z12" s="355"/>
      <c r="AA12" s="355" t="str">
        <f>RESUMEN!$D$21</f>
        <v>CONSORCIO RUTA NACIONAL 2018</v>
      </c>
      <c r="AB12" s="355"/>
      <c r="AC12" s="355"/>
      <c r="AD12"/>
    </row>
    <row r="13" spans="1:30" ht="36" customHeight="1" thickBot="1" x14ac:dyDescent="0.25">
      <c r="A13" s="11"/>
      <c r="B13" s="215" t="s">
        <v>10</v>
      </c>
      <c r="C13" s="216" t="s">
        <v>105</v>
      </c>
      <c r="D13" s="217" t="s">
        <v>95</v>
      </c>
      <c r="E13" s="217" t="s">
        <v>1</v>
      </c>
      <c r="F13" s="218" t="s">
        <v>6</v>
      </c>
      <c r="G13" s="217" t="s">
        <v>128</v>
      </c>
      <c r="H13" s="220" t="s">
        <v>39</v>
      </c>
      <c r="I13" s="221" t="s">
        <v>128</v>
      </c>
      <c r="J13" s="217" t="s">
        <v>2</v>
      </c>
      <c r="K13" s="219" t="s">
        <v>129</v>
      </c>
      <c r="L13" s="221" t="s">
        <v>128</v>
      </c>
      <c r="M13" s="217" t="s">
        <v>2</v>
      </c>
      <c r="N13" s="219" t="s">
        <v>129</v>
      </c>
      <c r="O13" s="221" t="s">
        <v>128</v>
      </c>
      <c r="P13" s="217" t="s">
        <v>2</v>
      </c>
      <c r="Q13" s="219" t="s">
        <v>129</v>
      </c>
      <c r="R13" s="221" t="s">
        <v>128</v>
      </c>
      <c r="S13" s="217" t="s">
        <v>2</v>
      </c>
      <c r="T13" s="219" t="s">
        <v>129</v>
      </c>
      <c r="U13" s="221" t="s">
        <v>128</v>
      </c>
      <c r="V13" s="217" t="s">
        <v>2</v>
      </c>
      <c r="W13" s="219" t="s">
        <v>129</v>
      </c>
      <c r="X13" s="221" t="s">
        <v>128</v>
      </c>
      <c r="Y13" s="217" t="s">
        <v>2</v>
      </c>
      <c r="Z13" s="219" t="s">
        <v>129</v>
      </c>
      <c r="AA13" s="221" t="s">
        <v>128</v>
      </c>
      <c r="AB13" s="217" t="s">
        <v>2</v>
      </c>
      <c r="AC13" s="219" t="s">
        <v>129</v>
      </c>
    </row>
    <row r="14" spans="1:30" ht="20.45" customHeight="1" x14ac:dyDescent="0.2">
      <c r="A14" s="11"/>
      <c r="B14" s="168" t="s">
        <v>130</v>
      </c>
      <c r="C14" s="169"/>
      <c r="D14" s="169"/>
      <c r="E14" s="169"/>
      <c r="F14" s="202"/>
      <c r="G14" s="169"/>
      <c r="H14" s="196">
        <f>SUM(H15:H26)</f>
        <v>1970114092</v>
      </c>
      <c r="I14" s="197"/>
      <c r="J14" s="198">
        <f>SUM(J15:J26)</f>
        <v>1970114092</v>
      </c>
      <c r="K14" s="199"/>
      <c r="L14" s="197"/>
      <c r="M14" s="198">
        <f t="shared" ref="M14" si="0">SUM(M15:M26)</f>
        <v>0</v>
      </c>
      <c r="N14" s="199"/>
      <c r="O14" s="197"/>
      <c r="P14" s="198">
        <f t="shared" ref="P14" si="1">SUM(P15:P26)</f>
        <v>0</v>
      </c>
      <c r="Q14" s="199"/>
      <c r="R14" s="197"/>
      <c r="S14" s="198">
        <f t="shared" ref="S14" si="2">SUM(S15:S26)</f>
        <v>1879090389</v>
      </c>
      <c r="T14" s="199"/>
      <c r="U14" s="197"/>
      <c r="V14" s="198">
        <f t="shared" ref="V14" si="3">SUM(V15:V26)</f>
        <v>1970114082</v>
      </c>
      <c r="W14" s="199"/>
      <c r="X14" s="197"/>
      <c r="Y14" s="198">
        <f t="shared" ref="Y14" si="4">SUM(Y15:Y26)</f>
        <v>0</v>
      </c>
      <c r="Z14" s="199"/>
      <c r="AA14" s="197"/>
      <c r="AB14" s="198">
        <f t="shared" ref="AB14" si="5">SUM(AB15:AB26)</f>
        <v>1956771212</v>
      </c>
      <c r="AC14" s="199"/>
    </row>
    <row r="15" spans="1:30" ht="30.6" customHeight="1" x14ac:dyDescent="0.2">
      <c r="A15" s="11"/>
      <c r="B15" s="170">
        <v>1</v>
      </c>
      <c r="C15" s="171" t="s">
        <v>137</v>
      </c>
      <c r="D15" s="310" t="s">
        <v>190</v>
      </c>
      <c r="E15" s="171" t="s">
        <v>191</v>
      </c>
      <c r="F15" s="201">
        <v>3.4</v>
      </c>
      <c r="G15" s="280">
        <v>2050823.0000000102</v>
      </c>
      <c r="H15" s="172">
        <f>ROUND(G15*F15,0)</f>
        <v>6972798</v>
      </c>
      <c r="I15" s="282">
        <v>2050823</v>
      </c>
      <c r="J15" s="173">
        <f>ROUND($F15*I15,0)</f>
        <v>6972798</v>
      </c>
      <c r="K15" s="174" t="str">
        <f>+IF(I15&gt;0,IF(OR(I15&gt;$G15,ROUND(I15,0)&gt;$G15),"NO VÁLIDA","VÁLIDA"),"NO VÁLIDA")</f>
        <v>VÁLIDA</v>
      </c>
      <c r="L15" s="282"/>
      <c r="M15" s="173">
        <f t="shared" ref="M15:M26" si="6">ROUND($F15*L15,0)</f>
        <v>0</v>
      </c>
      <c r="N15" s="174" t="str">
        <f t="shared" ref="N15:N18" si="7">+IF(L15&gt;0,IF(OR(L15&gt;$G15,ROUND(L15,0)&gt;$G15),"NO VÁLIDA","VÁLIDA"),"NO VÁLIDA")</f>
        <v>NO VÁLIDA</v>
      </c>
      <c r="O15" s="282"/>
      <c r="P15" s="173">
        <f t="shared" ref="P15:P26" si="8">ROUND($F15*O15,0)</f>
        <v>0</v>
      </c>
      <c r="Q15" s="174" t="str">
        <f t="shared" ref="Q15:Q18" si="9">+IF(O15&gt;0,IF(OR(O15&gt;$G15,ROUND(O15,0)&gt;$G15),"NO VÁLIDA","VÁLIDA"),"NO VÁLIDA")</f>
        <v>NO VÁLIDA</v>
      </c>
      <c r="R15" s="282">
        <v>2050823</v>
      </c>
      <c r="S15" s="173">
        <f t="shared" ref="S15:S26" si="10">ROUND($F15*R15,0)</f>
        <v>6972798</v>
      </c>
      <c r="T15" s="174" t="str">
        <f t="shared" ref="T15:T18" si="11">+IF(R15&gt;0,IF(OR(R15&gt;$G15,ROUND(R15,0)&gt;$G15),"NO VÁLIDA","VÁLIDA"),"NO VÁLIDA")</f>
        <v>VÁLIDA</v>
      </c>
      <c r="U15" s="282">
        <v>2050823</v>
      </c>
      <c r="V15" s="173">
        <f t="shared" ref="V15:V26" si="12">ROUND($F15*U15,0)</f>
        <v>6972798</v>
      </c>
      <c r="W15" s="174" t="str">
        <f t="shared" ref="W15:W18" si="13">+IF(U15&gt;0,IF(OR(U15&gt;$G15,ROUND(U15,0)&gt;$G15),"NO VÁLIDA","VÁLIDA"),"NO VÁLIDA")</f>
        <v>VÁLIDA</v>
      </c>
      <c r="X15" s="282"/>
      <c r="Y15" s="173">
        <f t="shared" ref="Y15:Y26" si="14">ROUND($F15*X15,0)</f>
        <v>0</v>
      </c>
      <c r="Z15" s="174" t="str">
        <f t="shared" ref="Z15:Z18" si="15">+IF(X15&gt;0,IF(OR(X15&gt;$G15,ROUND(X15,0)&gt;$G15),"NO VÁLIDA","VÁLIDA"),"NO VÁLIDA")</f>
        <v>NO VÁLIDA</v>
      </c>
      <c r="AA15" s="282">
        <v>2036877</v>
      </c>
      <c r="AB15" s="173">
        <f t="shared" ref="AB15:AB26" si="16">ROUND($F15*AA15,0)</f>
        <v>6925382</v>
      </c>
      <c r="AC15" s="174" t="str">
        <f t="shared" ref="AC15:AC18" si="17">+IF(AA15&gt;0,IF(OR(AA15&gt;$G15,ROUND(AA15,0)&gt;$G15),"NO VÁLIDA","VÁLIDA"),"NO VÁLIDA")</f>
        <v>VÁLIDA</v>
      </c>
    </row>
    <row r="16" spans="1:30" ht="30.6" customHeight="1" x14ac:dyDescent="0.2">
      <c r="A16" s="11"/>
      <c r="B16" s="170">
        <v>2</v>
      </c>
      <c r="C16" s="171" t="s">
        <v>138</v>
      </c>
      <c r="D16" s="310" t="s">
        <v>192</v>
      </c>
      <c r="E16" s="171" t="s">
        <v>100</v>
      </c>
      <c r="F16" s="201">
        <v>357.9</v>
      </c>
      <c r="G16" s="280">
        <v>137559.00000000006</v>
      </c>
      <c r="H16" s="172">
        <f t="shared" ref="H16:H26" si="18">ROUND(G16*F16,0)</f>
        <v>49232366</v>
      </c>
      <c r="I16" s="282">
        <v>137559</v>
      </c>
      <c r="J16" s="173">
        <f t="shared" ref="J16:J26" si="19">ROUND($F16*I16,0)</f>
        <v>49232366</v>
      </c>
      <c r="K16" s="174" t="str">
        <f t="shared" ref="K16:K26" si="20">+IF(I16&gt;0,IF(OR(I16&gt;$G16,ROUND(I16,0)&gt;$G16),"NO VÁLIDA","VÁLIDA"),"NO VÁLIDA")</f>
        <v>VÁLIDA</v>
      </c>
      <c r="L16" s="282"/>
      <c r="M16" s="173">
        <f t="shared" si="6"/>
        <v>0</v>
      </c>
      <c r="N16" s="174" t="str">
        <f t="shared" si="7"/>
        <v>NO VÁLIDA</v>
      </c>
      <c r="O16" s="282"/>
      <c r="P16" s="173">
        <f t="shared" si="8"/>
        <v>0</v>
      </c>
      <c r="Q16" s="174" t="str">
        <f t="shared" si="9"/>
        <v>NO VÁLIDA</v>
      </c>
      <c r="R16" s="282">
        <v>137559</v>
      </c>
      <c r="S16" s="173">
        <f t="shared" si="10"/>
        <v>49232366</v>
      </c>
      <c r="T16" s="174" t="str">
        <f t="shared" si="11"/>
        <v>VÁLIDA</v>
      </c>
      <c r="U16" s="282">
        <v>137559</v>
      </c>
      <c r="V16" s="173">
        <f t="shared" si="12"/>
        <v>49232366</v>
      </c>
      <c r="W16" s="174" t="str">
        <f t="shared" si="13"/>
        <v>VÁLIDA</v>
      </c>
      <c r="X16" s="282"/>
      <c r="Y16" s="173">
        <f t="shared" si="14"/>
        <v>0</v>
      </c>
      <c r="Z16" s="174" t="str">
        <f t="shared" si="15"/>
        <v>NO VÁLIDA</v>
      </c>
      <c r="AA16" s="282">
        <v>136624</v>
      </c>
      <c r="AB16" s="173">
        <f t="shared" si="16"/>
        <v>48897730</v>
      </c>
      <c r="AC16" s="174" t="str">
        <f t="shared" si="17"/>
        <v>VÁLIDA</v>
      </c>
    </row>
    <row r="17" spans="1:29" ht="30.6" customHeight="1" x14ac:dyDescent="0.2">
      <c r="A17" s="11"/>
      <c r="B17" s="170">
        <v>3</v>
      </c>
      <c r="C17" s="171" t="s">
        <v>139</v>
      </c>
      <c r="D17" s="310" t="s">
        <v>193</v>
      </c>
      <c r="E17" s="171" t="s">
        <v>194</v>
      </c>
      <c r="F17" s="201">
        <v>559</v>
      </c>
      <c r="G17" s="280">
        <v>32699.000000474531</v>
      </c>
      <c r="H17" s="172">
        <f t="shared" si="18"/>
        <v>18278741</v>
      </c>
      <c r="I17" s="282">
        <v>32699</v>
      </c>
      <c r="J17" s="173">
        <f t="shared" si="19"/>
        <v>18278741</v>
      </c>
      <c r="K17" s="174" t="str">
        <f t="shared" si="20"/>
        <v>VÁLIDA</v>
      </c>
      <c r="L17" s="282"/>
      <c r="M17" s="173">
        <f t="shared" si="6"/>
        <v>0</v>
      </c>
      <c r="N17" s="174" t="str">
        <f t="shared" si="7"/>
        <v>NO VÁLIDA</v>
      </c>
      <c r="O17" s="282"/>
      <c r="P17" s="173">
        <f t="shared" si="8"/>
        <v>0</v>
      </c>
      <c r="Q17" s="174" t="str">
        <f t="shared" si="9"/>
        <v>NO VÁLIDA</v>
      </c>
      <c r="R17" s="282">
        <v>32699</v>
      </c>
      <c r="S17" s="173">
        <f t="shared" si="10"/>
        <v>18278741</v>
      </c>
      <c r="T17" s="174" t="str">
        <f t="shared" si="11"/>
        <v>VÁLIDA</v>
      </c>
      <c r="U17" s="282">
        <v>32699</v>
      </c>
      <c r="V17" s="173">
        <f t="shared" si="12"/>
        <v>18278741</v>
      </c>
      <c r="W17" s="174" t="str">
        <f t="shared" si="13"/>
        <v>VÁLIDA</v>
      </c>
      <c r="X17" s="282"/>
      <c r="Y17" s="173">
        <f t="shared" si="14"/>
        <v>0</v>
      </c>
      <c r="Z17" s="174" t="str">
        <f t="shared" si="15"/>
        <v>NO VÁLIDA</v>
      </c>
      <c r="AA17" s="282">
        <v>32477</v>
      </c>
      <c r="AB17" s="173">
        <f t="shared" si="16"/>
        <v>18154643</v>
      </c>
      <c r="AC17" s="174" t="str">
        <f t="shared" si="17"/>
        <v>VÁLIDA</v>
      </c>
    </row>
    <row r="18" spans="1:29" ht="30.6" customHeight="1" x14ac:dyDescent="0.2">
      <c r="A18" s="11"/>
      <c r="B18" s="170">
        <v>4</v>
      </c>
      <c r="C18" s="171" t="s">
        <v>140</v>
      </c>
      <c r="D18" s="310" t="s">
        <v>195</v>
      </c>
      <c r="E18" s="171" t="s">
        <v>194</v>
      </c>
      <c r="F18" s="201">
        <v>9729.7000000000007</v>
      </c>
      <c r="G18" s="280">
        <v>2620.0000003165551</v>
      </c>
      <c r="H18" s="172">
        <f t="shared" si="18"/>
        <v>25491814</v>
      </c>
      <c r="I18" s="282">
        <v>2620</v>
      </c>
      <c r="J18" s="173">
        <f t="shared" si="19"/>
        <v>25491814</v>
      </c>
      <c r="K18" s="174" t="str">
        <f t="shared" si="20"/>
        <v>VÁLIDA</v>
      </c>
      <c r="L18" s="282"/>
      <c r="M18" s="173">
        <f t="shared" si="6"/>
        <v>0</v>
      </c>
      <c r="N18" s="174" t="str">
        <f t="shared" si="7"/>
        <v>NO VÁLIDA</v>
      </c>
      <c r="O18" s="282"/>
      <c r="P18" s="173">
        <f t="shared" si="8"/>
        <v>0</v>
      </c>
      <c r="Q18" s="174" t="str">
        <f t="shared" si="9"/>
        <v>NO VÁLIDA</v>
      </c>
      <c r="R18" s="282">
        <v>2620</v>
      </c>
      <c r="S18" s="173">
        <f t="shared" si="10"/>
        <v>25491814</v>
      </c>
      <c r="T18" s="174" t="str">
        <f t="shared" si="11"/>
        <v>VÁLIDA</v>
      </c>
      <c r="U18" s="282">
        <v>2620</v>
      </c>
      <c r="V18" s="173">
        <f t="shared" si="12"/>
        <v>25491814</v>
      </c>
      <c r="W18" s="174" t="str">
        <f t="shared" si="13"/>
        <v>VÁLIDA</v>
      </c>
      <c r="X18" s="282"/>
      <c r="Y18" s="173">
        <f t="shared" si="14"/>
        <v>0</v>
      </c>
      <c r="Z18" s="174" t="str">
        <f t="shared" si="15"/>
        <v>NO VÁLIDA</v>
      </c>
      <c r="AA18" s="282">
        <v>2602</v>
      </c>
      <c r="AB18" s="173">
        <f t="shared" si="16"/>
        <v>25316679</v>
      </c>
      <c r="AC18" s="174" t="str">
        <f t="shared" si="17"/>
        <v>VÁLIDA</v>
      </c>
    </row>
    <row r="19" spans="1:29" ht="40.5" customHeight="1" x14ac:dyDescent="0.2">
      <c r="A19" s="11"/>
      <c r="B19" s="170">
        <v>5</v>
      </c>
      <c r="C19" s="171" t="s">
        <v>141</v>
      </c>
      <c r="D19" s="310" t="s">
        <v>196</v>
      </c>
      <c r="E19" s="171" t="s">
        <v>100</v>
      </c>
      <c r="F19" s="201">
        <v>9587</v>
      </c>
      <c r="G19" s="280">
        <v>8540.9999782785999</v>
      </c>
      <c r="H19" s="172">
        <f t="shared" si="18"/>
        <v>81882567</v>
      </c>
      <c r="I19" s="280">
        <v>8540.9999782785999</v>
      </c>
      <c r="J19" s="173">
        <f t="shared" si="19"/>
        <v>81882567</v>
      </c>
      <c r="K19" s="174" t="str">
        <f>+IF(I19&gt;0,IF(OR(I19&gt;$G19),"NO VÁLIDA","VÁLIDA"),"NO VÁLIDA")</f>
        <v>VÁLIDA</v>
      </c>
      <c r="L19" s="282"/>
      <c r="M19" s="173">
        <f t="shared" si="6"/>
        <v>0</v>
      </c>
      <c r="N19" s="174" t="str">
        <f t="shared" ref="N19:N20" si="21">+IF(L19&gt;0,IF(OR(L19&gt;$G19),"NO VÁLIDA","VÁLIDA"),"NO VÁLIDA")</f>
        <v>NO VÁLIDA</v>
      </c>
      <c r="O19" s="282"/>
      <c r="P19" s="173">
        <f t="shared" si="8"/>
        <v>0</v>
      </c>
      <c r="Q19" s="174" t="str">
        <f t="shared" ref="Q19:Q20" si="22">+IF(O19&gt;0,IF(OR(O19&gt;$G19),"NO VÁLIDA","VÁLIDA"),"NO VÁLIDA")</f>
        <v>NO VÁLIDA</v>
      </c>
      <c r="R19" s="282">
        <v>8540</v>
      </c>
      <c r="S19" s="173">
        <f t="shared" si="10"/>
        <v>81872980</v>
      </c>
      <c r="T19" s="174" t="str">
        <f t="shared" ref="T19:T20" si="23">+IF(R19&gt;0,IF(OR(R19&gt;$G19),"NO VÁLIDA","VÁLIDA"),"NO VÁLIDA")</f>
        <v>VÁLIDA</v>
      </c>
      <c r="U19" s="280">
        <v>8540.9999782785999</v>
      </c>
      <c r="V19" s="173">
        <f t="shared" si="12"/>
        <v>81882567</v>
      </c>
      <c r="W19" s="174" t="str">
        <f t="shared" ref="W19:W20" si="24">+IF(U19&gt;0,IF(OR(U19&gt;$G19),"NO VÁLIDA","VÁLIDA"),"NO VÁLIDA")</f>
        <v>VÁLIDA</v>
      </c>
      <c r="X19" s="282"/>
      <c r="Y19" s="173">
        <f t="shared" si="14"/>
        <v>0</v>
      </c>
      <c r="Z19" s="174" t="str">
        <f t="shared" ref="Z19:Z20" si="25">+IF(X19&gt;0,IF(OR(X19&gt;$G19),"NO VÁLIDA","VÁLIDA"),"NO VÁLIDA")</f>
        <v>NO VÁLIDA</v>
      </c>
      <c r="AA19" s="282">
        <v>8483</v>
      </c>
      <c r="AB19" s="173">
        <f t="shared" si="16"/>
        <v>81326521</v>
      </c>
      <c r="AC19" s="174" t="str">
        <f t="shared" ref="AC19:AC20" si="26">+IF(AA19&gt;0,IF(OR(AA19&gt;$G19),"NO VÁLIDA","VÁLIDA"),"NO VÁLIDA")</f>
        <v>VÁLIDA</v>
      </c>
    </row>
    <row r="20" spans="1:29" ht="30.6" customHeight="1" x14ac:dyDescent="0.2">
      <c r="A20" s="11"/>
      <c r="B20" s="170">
        <v>6</v>
      </c>
      <c r="C20" s="171" t="s">
        <v>142</v>
      </c>
      <c r="D20" s="310" t="s">
        <v>197</v>
      </c>
      <c r="E20" s="171" t="s">
        <v>100</v>
      </c>
      <c r="F20" s="201">
        <v>506.5</v>
      </c>
      <c r="G20" s="280">
        <v>4947.9999997230552</v>
      </c>
      <c r="H20" s="172">
        <f t="shared" si="18"/>
        <v>2506162</v>
      </c>
      <c r="I20" s="280">
        <v>4947.9999997230552</v>
      </c>
      <c r="J20" s="173">
        <f t="shared" si="19"/>
        <v>2506162</v>
      </c>
      <c r="K20" s="174" t="str">
        <f>+IF(I20&gt;0,IF(OR(I20&gt;$G20),"NO VÁLIDA","VÁLIDA"),"NO VÁLIDA")</f>
        <v>VÁLIDA</v>
      </c>
      <c r="L20" s="282"/>
      <c r="M20" s="173">
        <f t="shared" si="6"/>
        <v>0</v>
      </c>
      <c r="N20" s="174" t="str">
        <f t="shared" si="21"/>
        <v>NO VÁLIDA</v>
      </c>
      <c r="O20" s="282"/>
      <c r="P20" s="173">
        <f t="shared" si="8"/>
        <v>0</v>
      </c>
      <c r="Q20" s="174" t="str">
        <f t="shared" si="22"/>
        <v>NO VÁLIDA</v>
      </c>
      <c r="R20" s="282">
        <v>4947</v>
      </c>
      <c r="S20" s="173">
        <f t="shared" si="10"/>
        <v>2505656</v>
      </c>
      <c r="T20" s="174" t="str">
        <f t="shared" si="23"/>
        <v>VÁLIDA</v>
      </c>
      <c r="U20" s="280">
        <v>4947.9999997230552</v>
      </c>
      <c r="V20" s="173">
        <f t="shared" si="12"/>
        <v>2506162</v>
      </c>
      <c r="W20" s="174" t="str">
        <f t="shared" si="24"/>
        <v>VÁLIDA</v>
      </c>
      <c r="X20" s="282"/>
      <c r="Y20" s="173">
        <f t="shared" si="14"/>
        <v>0</v>
      </c>
      <c r="Z20" s="174" t="str">
        <f t="shared" si="25"/>
        <v>NO VÁLIDA</v>
      </c>
      <c r="AA20" s="282">
        <v>4914</v>
      </c>
      <c r="AB20" s="173">
        <f t="shared" si="16"/>
        <v>2488941</v>
      </c>
      <c r="AC20" s="174" t="str">
        <f t="shared" si="26"/>
        <v>VÁLIDA</v>
      </c>
    </row>
    <row r="21" spans="1:29" ht="30.6" customHeight="1" x14ac:dyDescent="0.2">
      <c r="A21" s="11"/>
      <c r="B21" s="170">
        <v>7</v>
      </c>
      <c r="C21" s="171" t="s">
        <v>143</v>
      </c>
      <c r="D21" s="310" t="s">
        <v>198</v>
      </c>
      <c r="E21" s="171" t="s">
        <v>100</v>
      </c>
      <c r="F21" s="201">
        <v>1032.2</v>
      </c>
      <c r="G21" s="280">
        <v>8852.0000002101533</v>
      </c>
      <c r="H21" s="172">
        <f t="shared" si="18"/>
        <v>9137034</v>
      </c>
      <c r="I21" s="282">
        <v>8852</v>
      </c>
      <c r="J21" s="173">
        <f t="shared" si="19"/>
        <v>9137034</v>
      </c>
      <c r="K21" s="174" t="str">
        <f t="shared" si="20"/>
        <v>VÁLIDA</v>
      </c>
      <c r="L21" s="282"/>
      <c r="M21" s="173">
        <f t="shared" si="6"/>
        <v>0</v>
      </c>
      <c r="N21" s="174" t="str">
        <f t="shared" ref="N21:N26" si="27">+IF(L21&gt;0,IF(OR(L21&gt;$G21,ROUND(L21,0)&gt;$G21),"NO VÁLIDA","VÁLIDA"),"NO VÁLIDA")</f>
        <v>NO VÁLIDA</v>
      </c>
      <c r="O21" s="282"/>
      <c r="P21" s="173">
        <f t="shared" si="8"/>
        <v>0</v>
      </c>
      <c r="Q21" s="174" t="str">
        <f t="shared" ref="Q21:Q26" si="28">+IF(O21&gt;0,IF(OR(O21&gt;$G21,ROUND(O21,0)&gt;$G21),"NO VÁLIDA","VÁLIDA"),"NO VÁLIDA")</f>
        <v>NO VÁLIDA</v>
      </c>
      <c r="R21" s="282">
        <v>8852</v>
      </c>
      <c r="S21" s="173">
        <f t="shared" si="10"/>
        <v>9137034</v>
      </c>
      <c r="T21" s="174" t="str">
        <f t="shared" ref="T21:T26" si="29">+IF(R21&gt;0,IF(OR(R21&gt;$G21,ROUND(R21,0)&gt;$G21),"NO VÁLIDA","VÁLIDA"),"NO VÁLIDA")</f>
        <v>VÁLIDA</v>
      </c>
      <c r="U21" s="282">
        <v>8852</v>
      </c>
      <c r="V21" s="173">
        <f t="shared" si="12"/>
        <v>9137034</v>
      </c>
      <c r="W21" s="174" t="str">
        <f t="shared" ref="W21:W26" si="30">+IF(U21&gt;0,IF(OR(U21&gt;$G21,ROUND(U21,0)&gt;$G21),"NO VÁLIDA","VÁLIDA"),"NO VÁLIDA")</f>
        <v>VÁLIDA</v>
      </c>
      <c r="X21" s="282"/>
      <c r="Y21" s="173">
        <f t="shared" si="14"/>
        <v>0</v>
      </c>
      <c r="Z21" s="174" t="str">
        <f t="shared" ref="Z21:Z26" si="31">+IF(X21&gt;0,IF(OR(X21&gt;$G21,ROUND(X21,0)&gt;$G21),"NO VÁLIDA","VÁLIDA"),"NO VÁLIDA")</f>
        <v>NO VÁLIDA</v>
      </c>
      <c r="AA21" s="282">
        <v>8792</v>
      </c>
      <c r="AB21" s="173">
        <f t="shared" si="16"/>
        <v>9075102</v>
      </c>
      <c r="AC21" s="174" t="str">
        <f t="shared" ref="AC21:AC26" si="32">+IF(AA21&gt;0,IF(OR(AA21&gt;$G21,ROUND(AA21,0)&gt;$G21),"NO VÁLIDA","VÁLIDA"),"NO VÁLIDA")</f>
        <v>VÁLIDA</v>
      </c>
    </row>
    <row r="22" spans="1:29" ht="30.6" customHeight="1" x14ac:dyDescent="0.2">
      <c r="A22" s="11"/>
      <c r="B22" s="170">
        <v>8</v>
      </c>
      <c r="C22" s="171" t="s">
        <v>144</v>
      </c>
      <c r="D22" s="310" t="s">
        <v>199</v>
      </c>
      <c r="E22" s="171" t="s">
        <v>100</v>
      </c>
      <c r="F22" s="201">
        <v>33049.300000000003</v>
      </c>
      <c r="G22" s="280">
        <v>7127.0002922029498</v>
      </c>
      <c r="H22" s="172">
        <f t="shared" si="18"/>
        <v>235542371</v>
      </c>
      <c r="I22" s="282">
        <v>7127.0002922029498</v>
      </c>
      <c r="J22" s="173">
        <f t="shared" si="19"/>
        <v>235542371</v>
      </c>
      <c r="K22" s="174" t="str">
        <f t="shared" si="20"/>
        <v>VÁLIDA</v>
      </c>
      <c r="L22" s="282"/>
      <c r="M22" s="173">
        <f t="shared" si="6"/>
        <v>0</v>
      </c>
      <c r="N22" s="174" t="str">
        <f t="shared" si="27"/>
        <v>NO VÁLIDA</v>
      </c>
      <c r="O22" s="282"/>
      <c r="P22" s="173">
        <f t="shared" si="8"/>
        <v>0</v>
      </c>
      <c r="Q22" s="174" t="str">
        <f t="shared" si="28"/>
        <v>NO VÁLIDA</v>
      </c>
      <c r="R22" s="282">
        <v>7127</v>
      </c>
      <c r="S22" s="173">
        <f t="shared" si="10"/>
        <v>235542361</v>
      </c>
      <c r="T22" s="174" t="str">
        <f t="shared" si="29"/>
        <v>VÁLIDA</v>
      </c>
      <c r="U22" s="282">
        <v>7127</v>
      </c>
      <c r="V22" s="173">
        <f t="shared" si="12"/>
        <v>235542361</v>
      </c>
      <c r="W22" s="174" t="str">
        <f t="shared" si="30"/>
        <v>VÁLIDA</v>
      </c>
      <c r="X22" s="282"/>
      <c r="Y22" s="173">
        <f t="shared" si="14"/>
        <v>0</v>
      </c>
      <c r="Z22" s="174" t="str">
        <f t="shared" si="31"/>
        <v>NO VÁLIDA</v>
      </c>
      <c r="AA22" s="282">
        <v>7079</v>
      </c>
      <c r="AB22" s="173">
        <f t="shared" si="16"/>
        <v>233955995</v>
      </c>
      <c r="AC22" s="174" t="str">
        <f t="shared" si="32"/>
        <v>VÁLIDA</v>
      </c>
    </row>
    <row r="23" spans="1:29" ht="30.6" customHeight="1" x14ac:dyDescent="0.2">
      <c r="A23" s="11"/>
      <c r="B23" s="170">
        <v>9</v>
      </c>
      <c r="C23" s="171" t="s">
        <v>145</v>
      </c>
      <c r="D23" s="310" t="s">
        <v>200</v>
      </c>
      <c r="E23" s="171" t="s">
        <v>100</v>
      </c>
      <c r="F23" s="201">
        <v>9442.7999999999993</v>
      </c>
      <c r="G23" s="280">
        <v>31077.000081257585</v>
      </c>
      <c r="H23" s="172">
        <f t="shared" si="18"/>
        <v>293453896</v>
      </c>
      <c r="I23" s="282">
        <v>31077</v>
      </c>
      <c r="J23" s="173">
        <f t="shared" si="19"/>
        <v>293453896</v>
      </c>
      <c r="K23" s="174" t="str">
        <f t="shared" si="20"/>
        <v>VÁLIDA</v>
      </c>
      <c r="L23" s="282"/>
      <c r="M23" s="173">
        <f t="shared" si="6"/>
        <v>0</v>
      </c>
      <c r="N23" s="174" t="str">
        <f t="shared" si="27"/>
        <v>NO VÁLIDA</v>
      </c>
      <c r="O23" s="282"/>
      <c r="P23" s="173">
        <f t="shared" si="8"/>
        <v>0</v>
      </c>
      <c r="Q23" s="174" t="str">
        <f t="shared" si="28"/>
        <v>NO VÁLIDA</v>
      </c>
      <c r="R23" s="282">
        <v>31077</v>
      </c>
      <c r="S23" s="173">
        <f t="shared" si="10"/>
        <v>293453896</v>
      </c>
      <c r="T23" s="174" t="str">
        <f t="shared" si="29"/>
        <v>VÁLIDA</v>
      </c>
      <c r="U23" s="282">
        <v>31077</v>
      </c>
      <c r="V23" s="173">
        <f t="shared" si="12"/>
        <v>293453896</v>
      </c>
      <c r="W23" s="174" t="str">
        <f t="shared" si="30"/>
        <v>VÁLIDA</v>
      </c>
      <c r="X23" s="282"/>
      <c r="Y23" s="173">
        <f t="shared" si="14"/>
        <v>0</v>
      </c>
      <c r="Z23" s="174" t="str">
        <f t="shared" si="31"/>
        <v>NO VÁLIDA</v>
      </c>
      <c r="AA23" s="282">
        <v>30866</v>
      </c>
      <c r="AB23" s="173">
        <f t="shared" si="16"/>
        <v>291461465</v>
      </c>
      <c r="AC23" s="174" t="str">
        <f t="shared" si="32"/>
        <v>VÁLIDA</v>
      </c>
    </row>
    <row r="24" spans="1:29" ht="40.5" customHeight="1" x14ac:dyDescent="0.2">
      <c r="A24" s="11"/>
      <c r="B24" s="170">
        <v>10</v>
      </c>
      <c r="C24" s="171" t="s">
        <v>146</v>
      </c>
      <c r="D24" s="310" t="s">
        <v>201</v>
      </c>
      <c r="E24" s="171" t="s">
        <v>101</v>
      </c>
      <c r="F24" s="201">
        <v>4199.3</v>
      </c>
      <c r="G24" s="280">
        <v>7079.0000026612051</v>
      </c>
      <c r="H24" s="172">
        <f t="shared" si="18"/>
        <v>29726845</v>
      </c>
      <c r="I24" s="282">
        <v>7079</v>
      </c>
      <c r="J24" s="173">
        <f t="shared" si="19"/>
        <v>29726845</v>
      </c>
      <c r="K24" s="174" t="str">
        <f t="shared" si="20"/>
        <v>VÁLIDA</v>
      </c>
      <c r="L24" s="282"/>
      <c r="M24" s="173">
        <f t="shared" si="6"/>
        <v>0</v>
      </c>
      <c r="N24" s="174" t="str">
        <f t="shared" si="27"/>
        <v>NO VÁLIDA</v>
      </c>
      <c r="O24" s="282"/>
      <c r="P24" s="173">
        <f t="shared" si="8"/>
        <v>0</v>
      </c>
      <c r="Q24" s="174" t="str">
        <f t="shared" si="28"/>
        <v>NO VÁLIDA</v>
      </c>
      <c r="R24" s="282">
        <v>7079</v>
      </c>
      <c r="S24" s="173">
        <f t="shared" si="10"/>
        <v>29726845</v>
      </c>
      <c r="T24" s="174" t="str">
        <f t="shared" si="29"/>
        <v>VÁLIDA</v>
      </c>
      <c r="U24" s="282">
        <v>7079</v>
      </c>
      <c r="V24" s="173">
        <f t="shared" si="12"/>
        <v>29726845</v>
      </c>
      <c r="W24" s="174" t="str">
        <f t="shared" si="30"/>
        <v>VÁLIDA</v>
      </c>
      <c r="X24" s="282"/>
      <c r="Y24" s="173">
        <f t="shared" si="14"/>
        <v>0</v>
      </c>
      <c r="Z24" s="174" t="str">
        <f t="shared" si="31"/>
        <v>NO VÁLIDA</v>
      </c>
      <c r="AA24" s="282">
        <v>7031</v>
      </c>
      <c r="AB24" s="173">
        <f t="shared" si="16"/>
        <v>29525278</v>
      </c>
      <c r="AC24" s="174" t="str">
        <f t="shared" si="32"/>
        <v>VÁLIDA</v>
      </c>
    </row>
    <row r="25" spans="1:29" ht="40.5" customHeight="1" x14ac:dyDescent="0.2">
      <c r="A25" s="11"/>
      <c r="B25" s="170">
        <v>11</v>
      </c>
      <c r="C25" s="171" t="s">
        <v>147</v>
      </c>
      <c r="D25" s="310" t="s">
        <v>202</v>
      </c>
      <c r="E25" s="171" t="s">
        <v>101</v>
      </c>
      <c r="F25" s="201">
        <v>7099.2</v>
      </c>
      <c r="G25" s="280">
        <v>8646.0000000000018</v>
      </c>
      <c r="H25" s="172">
        <f t="shared" si="18"/>
        <v>61379683</v>
      </c>
      <c r="I25" s="280">
        <v>8646.0000000000018</v>
      </c>
      <c r="J25" s="173">
        <f t="shared" si="19"/>
        <v>61379683</v>
      </c>
      <c r="K25" s="174" t="str">
        <f t="shared" si="20"/>
        <v>VÁLIDA</v>
      </c>
      <c r="L25" s="282"/>
      <c r="M25" s="173">
        <f t="shared" si="6"/>
        <v>0</v>
      </c>
      <c r="N25" s="174" t="str">
        <f t="shared" si="27"/>
        <v>NO VÁLIDA</v>
      </c>
      <c r="O25" s="282"/>
      <c r="P25" s="173">
        <f t="shared" si="8"/>
        <v>0</v>
      </c>
      <c r="Q25" s="174" t="str">
        <f t="shared" si="28"/>
        <v>NO VÁLIDA</v>
      </c>
      <c r="R25" s="282">
        <v>8646</v>
      </c>
      <c r="S25" s="173">
        <f t="shared" si="10"/>
        <v>61379683</v>
      </c>
      <c r="T25" s="174" t="str">
        <f t="shared" si="29"/>
        <v>VÁLIDA</v>
      </c>
      <c r="U25" s="282">
        <v>8646</v>
      </c>
      <c r="V25" s="173">
        <f t="shared" si="12"/>
        <v>61379683</v>
      </c>
      <c r="W25" s="174" t="str">
        <f t="shared" si="30"/>
        <v>VÁLIDA</v>
      </c>
      <c r="X25" s="282"/>
      <c r="Y25" s="173">
        <f t="shared" si="14"/>
        <v>0</v>
      </c>
      <c r="Z25" s="174" t="str">
        <f t="shared" si="31"/>
        <v>NO VÁLIDA</v>
      </c>
      <c r="AA25" s="282">
        <v>8587</v>
      </c>
      <c r="AB25" s="173">
        <f t="shared" si="16"/>
        <v>60960830</v>
      </c>
      <c r="AC25" s="174" t="str">
        <f t="shared" si="32"/>
        <v>VÁLIDA</v>
      </c>
    </row>
    <row r="26" spans="1:29" ht="30.6" customHeight="1" thickBot="1" x14ac:dyDescent="0.25">
      <c r="A26" s="11"/>
      <c r="B26" s="170">
        <v>12</v>
      </c>
      <c r="C26" s="171" t="s">
        <v>148</v>
      </c>
      <c r="D26" s="310" t="s">
        <v>203</v>
      </c>
      <c r="E26" s="171" t="s">
        <v>101</v>
      </c>
      <c r="F26" s="201">
        <v>91013.6</v>
      </c>
      <c r="G26" s="280">
        <v>12707</v>
      </c>
      <c r="H26" s="172">
        <f t="shared" si="18"/>
        <v>1156509815</v>
      </c>
      <c r="I26" s="282">
        <v>12707</v>
      </c>
      <c r="J26" s="173">
        <f t="shared" si="19"/>
        <v>1156509815</v>
      </c>
      <c r="K26" s="174" t="str">
        <f t="shared" si="20"/>
        <v>VÁLIDA</v>
      </c>
      <c r="L26" s="282"/>
      <c r="M26" s="173">
        <f t="shared" si="6"/>
        <v>0</v>
      </c>
      <c r="N26" s="174" t="str">
        <f t="shared" si="27"/>
        <v>NO VÁLIDA</v>
      </c>
      <c r="O26" s="282"/>
      <c r="P26" s="173">
        <f t="shared" si="8"/>
        <v>0</v>
      </c>
      <c r="Q26" s="174" t="str">
        <f t="shared" si="28"/>
        <v>NO VÁLIDA</v>
      </c>
      <c r="R26" s="282">
        <v>11707</v>
      </c>
      <c r="S26" s="173">
        <f t="shared" si="10"/>
        <v>1065496215</v>
      </c>
      <c r="T26" s="174" t="str">
        <f t="shared" si="29"/>
        <v>VÁLIDA</v>
      </c>
      <c r="U26" s="282">
        <v>12707</v>
      </c>
      <c r="V26" s="173">
        <f t="shared" si="12"/>
        <v>1156509815</v>
      </c>
      <c r="W26" s="174" t="str">
        <f t="shared" si="30"/>
        <v>VÁLIDA</v>
      </c>
      <c r="X26" s="282"/>
      <c r="Y26" s="173">
        <f t="shared" si="14"/>
        <v>0</v>
      </c>
      <c r="Z26" s="174" t="str">
        <f t="shared" si="31"/>
        <v>NO VÁLIDA</v>
      </c>
      <c r="AA26" s="282">
        <v>12621</v>
      </c>
      <c r="AB26" s="173">
        <f t="shared" si="16"/>
        <v>1148682646</v>
      </c>
      <c r="AC26" s="174" t="str">
        <f t="shared" si="32"/>
        <v>VÁLIDA</v>
      </c>
    </row>
    <row r="27" spans="1:29" ht="20.45" customHeight="1" x14ac:dyDescent="0.2">
      <c r="A27" s="11"/>
      <c r="B27" s="168" t="s">
        <v>131</v>
      </c>
      <c r="C27" s="169"/>
      <c r="D27" s="169"/>
      <c r="E27" s="169"/>
      <c r="F27" s="202"/>
      <c r="G27" s="281"/>
      <c r="H27" s="196">
        <f>SUM(H28:H31)</f>
        <v>3908720916</v>
      </c>
      <c r="I27" s="283"/>
      <c r="J27" s="198">
        <f>SUM(J28:J31)</f>
        <v>3908720916</v>
      </c>
      <c r="K27" s="199"/>
      <c r="L27" s="283"/>
      <c r="M27" s="198">
        <f t="shared" ref="M27" si="33">SUM(M28:M31)</f>
        <v>0</v>
      </c>
      <c r="N27" s="199"/>
      <c r="O27" s="283"/>
      <c r="P27" s="198">
        <f t="shared" ref="P27" si="34">SUM(P28:P31)</f>
        <v>0</v>
      </c>
      <c r="Q27" s="199"/>
      <c r="R27" s="283"/>
      <c r="S27" s="198">
        <f t="shared" ref="S27" si="35">SUM(S28:S31)</f>
        <v>3908708352</v>
      </c>
      <c r="T27" s="199"/>
      <c r="U27" s="283"/>
      <c r="V27" s="198">
        <f t="shared" ref="V27" si="36">SUM(V28:V31)</f>
        <v>3620082222</v>
      </c>
      <c r="W27" s="199"/>
      <c r="X27" s="283"/>
      <c r="Y27" s="198">
        <f t="shared" ref="Y27" si="37">SUM(Y28:Y31)</f>
        <v>0</v>
      </c>
      <c r="Z27" s="199"/>
      <c r="AA27" s="283"/>
      <c r="AB27" s="198">
        <f t="shared" ref="AB27" si="38">SUM(AB28:AB31)</f>
        <v>3882155287</v>
      </c>
      <c r="AC27" s="199"/>
    </row>
    <row r="28" spans="1:29" ht="30.6" customHeight="1" x14ac:dyDescent="0.2">
      <c r="A28" s="11"/>
      <c r="B28" s="170">
        <v>13</v>
      </c>
      <c r="C28" s="171" t="s">
        <v>106</v>
      </c>
      <c r="D28" s="310" t="s">
        <v>204</v>
      </c>
      <c r="E28" s="171" t="s">
        <v>101</v>
      </c>
      <c r="F28" s="201">
        <v>105461.5</v>
      </c>
      <c r="G28" s="280">
        <v>481.00000385226411</v>
      </c>
      <c r="H28" s="172">
        <f t="shared" ref="H28:H31" si="39">ROUND(G28*F28,0)</f>
        <v>50726982</v>
      </c>
      <c r="I28" s="282">
        <v>481</v>
      </c>
      <c r="J28" s="173">
        <f t="shared" ref="J28:J31" si="40">ROUND($F28*I28,0)</f>
        <v>50726982</v>
      </c>
      <c r="K28" s="174" t="str">
        <f t="shared" ref="K28:K31" si="41">+IF(I28&gt;0,IF(OR(I28&gt;$G28,ROUND(I28,0)&gt;$G28),"NO VÁLIDA","VÁLIDA"),"NO VÁLIDA")</f>
        <v>VÁLIDA</v>
      </c>
      <c r="L28" s="282"/>
      <c r="M28" s="173">
        <f t="shared" ref="M28:M31" si="42">ROUND($F28*L28,0)</f>
        <v>0</v>
      </c>
      <c r="N28" s="174" t="str">
        <f t="shared" ref="N28:N31" si="43">+IF(L28&gt;0,IF(OR(L28&gt;$G28,ROUND(L28,0)&gt;$G28),"NO VÁLIDA","VÁLIDA"),"NO VÁLIDA")</f>
        <v>NO VÁLIDA</v>
      </c>
      <c r="O28" s="282"/>
      <c r="P28" s="173">
        <f t="shared" ref="P28:P31" si="44">ROUND($F28*O28,0)</f>
        <v>0</v>
      </c>
      <c r="Q28" s="174" t="str">
        <f t="shared" ref="Q28:Q31" si="45">+IF(O28&gt;0,IF(OR(O28&gt;$G28,ROUND(O28,0)&gt;$G28),"NO VÁLIDA","VÁLIDA"),"NO VÁLIDA")</f>
        <v>NO VÁLIDA</v>
      </c>
      <c r="R28" s="282">
        <v>481</v>
      </c>
      <c r="S28" s="173">
        <f t="shared" ref="S28:S31" si="46">ROUND($F28*R28,0)</f>
        <v>50726982</v>
      </c>
      <c r="T28" s="174" t="str">
        <f t="shared" ref="T28:T31" si="47">+IF(R28&gt;0,IF(OR(R28&gt;$G28,ROUND(R28,0)&gt;$G28),"NO VÁLIDA","VÁLIDA"),"NO VÁLIDA")</f>
        <v>VÁLIDA</v>
      </c>
      <c r="U28" s="282">
        <v>481</v>
      </c>
      <c r="V28" s="173">
        <f t="shared" ref="V28:V31" si="48">ROUND($F28*U28,0)</f>
        <v>50726982</v>
      </c>
      <c r="W28" s="174" t="str">
        <f t="shared" ref="W28:W31" si="49">+IF(U28&gt;0,IF(OR(U28&gt;$G28,ROUND(U28,0)&gt;$G28),"NO VÁLIDA","VÁLIDA"),"NO VÁLIDA")</f>
        <v>VÁLIDA</v>
      </c>
      <c r="X28" s="282"/>
      <c r="Y28" s="173">
        <f t="shared" ref="Y28:Y31" si="50">ROUND($F28*X28,0)</f>
        <v>0</v>
      </c>
      <c r="Z28" s="174" t="str">
        <f t="shared" ref="Z28:Z31" si="51">+IF(X28&gt;0,IF(OR(X28&gt;$G28,ROUND(X28,0)&gt;$G28),"NO VÁLIDA","VÁLIDA"),"NO VÁLIDA")</f>
        <v>NO VÁLIDA</v>
      </c>
      <c r="AA28" s="282">
        <v>478</v>
      </c>
      <c r="AB28" s="173">
        <f t="shared" ref="AB28:AB31" si="52">ROUND($F28*AA28,0)</f>
        <v>50410597</v>
      </c>
      <c r="AC28" s="174" t="str">
        <f t="shared" ref="AC28:AC31" si="53">+IF(AA28&gt;0,IF(OR(AA28&gt;$G28,ROUND(AA28,0)&gt;$G28),"NO VÁLIDA","VÁLIDA"),"NO VÁLIDA")</f>
        <v>VÁLIDA</v>
      </c>
    </row>
    <row r="29" spans="1:29" ht="30.6" customHeight="1" x14ac:dyDescent="0.2">
      <c r="A29" s="11"/>
      <c r="B29" s="170">
        <v>14</v>
      </c>
      <c r="C29" s="171" t="s">
        <v>149</v>
      </c>
      <c r="D29" s="310" t="s">
        <v>205</v>
      </c>
      <c r="E29" s="171" t="s">
        <v>100</v>
      </c>
      <c r="F29" s="201">
        <v>52500</v>
      </c>
      <c r="G29" s="280">
        <v>32152.000000000007</v>
      </c>
      <c r="H29" s="172">
        <f t="shared" ref="H29" si="54">ROUND(G29*F29,0)</f>
        <v>1687980000</v>
      </c>
      <c r="I29" s="282">
        <v>32152</v>
      </c>
      <c r="J29" s="173">
        <f t="shared" ref="J29" si="55">ROUND($F29*I29,0)</f>
        <v>1687980000</v>
      </c>
      <c r="K29" s="174" t="str">
        <f t="shared" si="41"/>
        <v>VÁLIDA</v>
      </c>
      <c r="L29" s="282"/>
      <c r="M29" s="173">
        <f t="shared" si="42"/>
        <v>0</v>
      </c>
      <c r="N29" s="174" t="str">
        <f t="shared" si="43"/>
        <v>NO VÁLIDA</v>
      </c>
      <c r="O29" s="282"/>
      <c r="P29" s="173">
        <f t="shared" si="44"/>
        <v>0</v>
      </c>
      <c r="Q29" s="174" t="str">
        <f t="shared" si="45"/>
        <v>NO VÁLIDA</v>
      </c>
      <c r="R29" s="282">
        <v>32152</v>
      </c>
      <c r="S29" s="173">
        <f t="shared" si="46"/>
        <v>1687980000</v>
      </c>
      <c r="T29" s="174" t="str">
        <f t="shared" si="47"/>
        <v>VÁLIDA</v>
      </c>
      <c r="U29" s="282">
        <v>32152</v>
      </c>
      <c r="V29" s="173">
        <f t="shared" si="48"/>
        <v>1687980000</v>
      </c>
      <c r="W29" s="174" t="str">
        <f t="shared" si="49"/>
        <v>VÁLIDA</v>
      </c>
      <c r="X29" s="282"/>
      <c r="Y29" s="173">
        <f t="shared" si="50"/>
        <v>0</v>
      </c>
      <c r="Z29" s="174" t="str">
        <f t="shared" si="51"/>
        <v>NO VÁLIDA</v>
      </c>
      <c r="AA29" s="282">
        <v>31933</v>
      </c>
      <c r="AB29" s="173">
        <f t="shared" si="52"/>
        <v>1676482500</v>
      </c>
      <c r="AC29" s="174" t="str">
        <f t="shared" si="53"/>
        <v>VÁLIDA</v>
      </c>
    </row>
    <row r="30" spans="1:29" ht="30.6" customHeight="1" x14ac:dyDescent="0.2">
      <c r="A30" s="11"/>
      <c r="B30" s="170">
        <v>15</v>
      </c>
      <c r="C30" s="171" t="s">
        <v>150</v>
      </c>
      <c r="D30" s="310" t="s">
        <v>206</v>
      </c>
      <c r="E30" s="171" t="s">
        <v>100</v>
      </c>
      <c r="F30" s="201">
        <v>14100</v>
      </c>
      <c r="G30" s="280">
        <v>55271.364502409197</v>
      </c>
      <c r="H30" s="172">
        <f t="shared" si="39"/>
        <v>779326239</v>
      </c>
      <c r="I30" s="280">
        <v>55271.364502409197</v>
      </c>
      <c r="J30" s="173">
        <f t="shared" si="40"/>
        <v>779326239</v>
      </c>
      <c r="K30" s="174" t="str">
        <f t="shared" si="41"/>
        <v>VÁLIDA</v>
      </c>
      <c r="L30" s="282"/>
      <c r="M30" s="173">
        <f t="shared" si="42"/>
        <v>0</v>
      </c>
      <c r="N30" s="174" t="str">
        <f t="shared" si="43"/>
        <v>NO VÁLIDA</v>
      </c>
      <c r="O30" s="282"/>
      <c r="P30" s="173">
        <f t="shared" si="44"/>
        <v>0</v>
      </c>
      <c r="Q30" s="174" t="str">
        <f t="shared" si="45"/>
        <v>NO VÁLIDA</v>
      </c>
      <c r="R30" s="282">
        <v>55271</v>
      </c>
      <c r="S30" s="173">
        <f t="shared" si="46"/>
        <v>779321100</v>
      </c>
      <c r="T30" s="174" t="str">
        <f t="shared" si="47"/>
        <v>VÁLIDA</v>
      </c>
      <c r="U30" s="282">
        <v>48683</v>
      </c>
      <c r="V30" s="173">
        <f t="shared" si="48"/>
        <v>686430300</v>
      </c>
      <c r="W30" s="174" t="str">
        <f t="shared" si="49"/>
        <v>VÁLIDA</v>
      </c>
      <c r="X30" s="282"/>
      <c r="Y30" s="173">
        <f t="shared" si="50"/>
        <v>0</v>
      </c>
      <c r="Z30" s="174" t="str">
        <f t="shared" si="51"/>
        <v>NO VÁLIDA</v>
      </c>
      <c r="AA30" s="282">
        <v>54896</v>
      </c>
      <c r="AB30" s="173">
        <f t="shared" si="52"/>
        <v>774033600</v>
      </c>
      <c r="AC30" s="174" t="str">
        <f t="shared" si="53"/>
        <v>VÁLIDA</v>
      </c>
    </row>
    <row r="31" spans="1:29" ht="30.6" customHeight="1" thickBot="1" x14ac:dyDescent="0.25">
      <c r="A31" s="11"/>
      <c r="B31" s="170">
        <v>16</v>
      </c>
      <c r="C31" s="171" t="s">
        <v>151</v>
      </c>
      <c r="D31" s="310" t="s">
        <v>207</v>
      </c>
      <c r="E31" s="171" t="s">
        <v>100</v>
      </c>
      <c r="F31" s="201">
        <v>20370</v>
      </c>
      <c r="G31" s="280">
        <v>68271.364502409197</v>
      </c>
      <c r="H31" s="172">
        <f t="shared" si="39"/>
        <v>1390687695</v>
      </c>
      <c r="I31" s="280">
        <v>68271.364502409197</v>
      </c>
      <c r="J31" s="173">
        <f t="shared" si="40"/>
        <v>1390687695</v>
      </c>
      <c r="K31" s="174" t="str">
        <f t="shared" si="41"/>
        <v>VÁLIDA</v>
      </c>
      <c r="L31" s="282"/>
      <c r="M31" s="173">
        <f t="shared" si="42"/>
        <v>0</v>
      </c>
      <c r="N31" s="174" t="str">
        <f t="shared" si="43"/>
        <v>NO VÁLIDA</v>
      </c>
      <c r="O31" s="282"/>
      <c r="P31" s="173">
        <f t="shared" si="44"/>
        <v>0</v>
      </c>
      <c r="Q31" s="174" t="str">
        <f t="shared" si="45"/>
        <v>NO VÁLIDA</v>
      </c>
      <c r="R31" s="282">
        <v>68271</v>
      </c>
      <c r="S31" s="173">
        <f t="shared" si="46"/>
        <v>1390680270</v>
      </c>
      <c r="T31" s="174" t="str">
        <f t="shared" si="47"/>
        <v>VÁLIDA</v>
      </c>
      <c r="U31" s="282">
        <v>58662</v>
      </c>
      <c r="V31" s="173">
        <f t="shared" si="48"/>
        <v>1194944940</v>
      </c>
      <c r="W31" s="174" t="str">
        <f t="shared" si="49"/>
        <v>VÁLIDA</v>
      </c>
      <c r="X31" s="282"/>
      <c r="Y31" s="173">
        <f t="shared" si="50"/>
        <v>0</v>
      </c>
      <c r="Z31" s="174" t="str">
        <f t="shared" si="51"/>
        <v>NO VÁLIDA</v>
      </c>
      <c r="AA31" s="282">
        <v>67807</v>
      </c>
      <c r="AB31" s="173">
        <f t="shared" si="52"/>
        <v>1381228590</v>
      </c>
      <c r="AC31" s="174" t="str">
        <f t="shared" si="53"/>
        <v>VÁLIDA</v>
      </c>
    </row>
    <row r="32" spans="1:29" ht="22.5" customHeight="1" x14ac:dyDescent="0.2">
      <c r="A32" s="11"/>
      <c r="B32" s="168" t="s">
        <v>132</v>
      </c>
      <c r="C32" s="169"/>
      <c r="D32" s="169"/>
      <c r="E32" s="169"/>
      <c r="F32" s="202"/>
      <c r="G32" s="281"/>
      <c r="H32" s="196">
        <f>SUM(H33:H34)</f>
        <v>4666111402</v>
      </c>
      <c r="I32" s="283"/>
      <c r="J32" s="198">
        <f>SUM(J33:J34)</f>
        <v>4593352877</v>
      </c>
      <c r="K32" s="199"/>
      <c r="L32" s="283"/>
      <c r="M32" s="198">
        <f t="shared" ref="M32" si="56">SUM(M33:M34)</f>
        <v>0</v>
      </c>
      <c r="N32" s="199"/>
      <c r="O32" s="283"/>
      <c r="P32" s="198">
        <f t="shared" ref="P32" si="57">SUM(P33:P34)</f>
        <v>0</v>
      </c>
      <c r="Q32" s="199"/>
      <c r="R32" s="283"/>
      <c r="S32" s="198">
        <f t="shared" ref="S32" si="58">SUM(S33:S34)</f>
        <v>4666111402</v>
      </c>
      <c r="T32" s="199"/>
      <c r="U32" s="283"/>
      <c r="V32" s="198">
        <f t="shared" ref="V32" si="59">SUM(V33:V34)</f>
        <v>4636978327</v>
      </c>
      <c r="W32" s="199"/>
      <c r="X32" s="283"/>
      <c r="Y32" s="198">
        <f t="shared" ref="Y32" si="60">SUM(Y33:Y34)</f>
        <v>0</v>
      </c>
      <c r="Z32" s="199"/>
      <c r="AA32" s="283"/>
      <c r="AB32" s="198">
        <f t="shared" ref="AB32" si="61">SUM(AB33:AB34)</f>
        <v>4634376460</v>
      </c>
      <c r="AC32" s="199"/>
    </row>
    <row r="33" spans="1:29" ht="30.6" customHeight="1" x14ac:dyDescent="0.2">
      <c r="A33" s="11"/>
      <c r="B33" s="170">
        <v>17</v>
      </c>
      <c r="C33" s="171" t="s">
        <v>107</v>
      </c>
      <c r="D33" s="310" t="s">
        <v>208</v>
      </c>
      <c r="E33" s="171" t="s">
        <v>101</v>
      </c>
      <c r="F33" s="201">
        <v>89000</v>
      </c>
      <c r="G33" s="280">
        <v>1613</v>
      </c>
      <c r="H33" s="172">
        <f t="shared" ref="H33:H34" si="62">ROUND(G33*F33,0)</f>
        <v>143557000</v>
      </c>
      <c r="I33" s="280">
        <v>1613</v>
      </c>
      <c r="J33" s="173">
        <f t="shared" ref="J33" si="63">ROUND($F33*I33,0)</f>
        <v>143557000</v>
      </c>
      <c r="K33" s="174" t="str">
        <f t="shared" ref="K33:K34" si="64">+IF(I33&gt;0,IF(OR(I33&gt;$G33,ROUND(I33,0)&gt;$G33),"NO VÁLIDA","VÁLIDA"),"NO VÁLIDA")</f>
        <v>VÁLIDA</v>
      </c>
      <c r="L33" s="282"/>
      <c r="M33" s="173">
        <f t="shared" ref="M33:M34" si="65">ROUND($F33*L33,0)</f>
        <v>0</v>
      </c>
      <c r="N33" s="174" t="str">
        <f t="shared" ref="N33:N34" si="66">+IF(L33&gt;0,IF(OR(L33&gt;$G33,ROUND(L33,0)&gt;$G33),"NO VÁLIDA","VÁLIDA"),"NO VÁLIDA")</f>
        <v>NO VÁLIDA</v>
      </c>
      <c r="O33" s="282"/>
      <c r="P33" s="173">
        <f t="shared" ref="P33:P34" si="67">ROUND($F33*O33,0)</f>
        <v>0</v>
      </c>
      <c r="Q33" s="174" t="str">
        <f t="shared" ref="Q33:Q34" si="68">+IF(O33&gt;0,IF(OR(O33&gt;$G33,ROUND(O33,0)&gt;$G33),"NO VÁLIDA","VÁLIDA"),"NO VÁLIDA")</f>
        <v>NO VÁLIDA</v>
      </c>
      <c r="R33" s="282">
        <v>1613</v>
      </c>
      <c r="S33" s="173">
        <f t="shared" ref="S33:S34" si="69">ROUND($F33*R33,0)</f>
        <v>143557000</v>
      </c>
      <c r="T33" s="174" t="str">
        <f t="shared" ref="T33:T34" si="70">+IF(R33&gt;0,IF(OR(R33&gt;$G33,ROUND(R33,0)&gt;$G33),"NO VÁLIDA","VÁLIDA"),"NO VÁLIDA")</f>
        <v>VÁLIDA</v>
      </c>
      <c r="U33" s="282">
        <v>1613</v>
      </c>
      <c r="V33" s="173">
        <f t="shared" ref="V33:V34" si="71">ROUND($F33*U33,0)</f>
        <v>143557000</v>
      </c>
      <c r="W33" s="174" t="str">
        <f t="shared" ref="W33:W34" si="72">+IF(U33&gt;0,IF(OR(U33&gt;$G33,ROUND(U33,0)&gt;$G33),"NO VÁLIDA","VÁLIDA"),"NO VÁLIDA")</f>
        <v>VÁLIDA</v>
      </c>
      <c r="X33" s="282"/>
      <c r="Y33" s="173">
        <f t="shared" ref="Y33:Y34" si="73">ROUND($F33*X33,0)</f>
        <v>0</v>
      </c>
      <c r="Z33" s="174" t="str">
        <f t="shared" ref="Z33:Z34" si="74">+IF(X33&gt;0,IF(OR(X33&gt;$G33,ROUND(X33,0)&gt;$G33),"NO VÁLIDA","VÁLIDA"),"NO VÁLIDA")</f>
        <v>NO VÁLIDA</v>
      </c>
      <c r="AA33" s="282">
        <v>1602</v>
      </c>
      <c r="AB33" s="173">
        <f t="shared" ref="AB33:AB34" si="75">ROUND($F33*AA33,0)</f>
        <v>142578000</v>
      </c>
      <c r="AC33" s="174" t="str">
        <f t="shared" ref="AC33:AC34" si="76">+IF(AA33&gt;0,IF(OR(AA33&gt;$G33,ROUND(AA33,0)&gt;$G33),"NO VÁLIDA","VÁLIDA"),"NO VÁLIDA")</f>
        <v>VÁLIDA</v>
      </c>
    </row>
    <row r="34" spans="1:29" ht="30.6" customHeight="1" thickBot="1" x14ac:dyDescent="0.25">
      <c r="A34" s="11"/>
      <c r="B34" s="170">
        <v>18</v>
      </c>
      <c r="C34" s="171" t="s">
        <v>152</v>
      </c>
      <c r="D34" s="310" t="s">
        <v>209</v>
      </c>
      <c r="E34" s="171" t="s">
        <v>100</v>
      </c>
      <c r="F34" s="201">
        <v>8725.0899550697177</v>
      </c>
      <c r="G34" s="280">
        <v>518338.99999999971</v>
      </c>
      <c r="H34" s="172">
        <f t="shared" si="62"/>
        <v>4522554402</v>
      </c>
      <c r="I34" s="322">
        <v>510000</v>
      </c>
      <c r="J34" s="173">
        <f>ROUND($F34*I34,0)</f>
        <v>4449795877</v>
      </c>
      <c r="K34" s="174" t="str">
        <f t="shared" si="64"/>
        <v>VÁLIDA</v>
      </c>
      <c r="L34" s="282"/>
      <c r="M34" s="173">
        <f t="shared" si="65"/>
        <v>0</v>
      </c>
      <c r="N34" s="174" t="str">
        <f t="shared" si="66"/>
        <v>NO VÁLIDA</v>
      </c>
      <c r="O34" s="282"/>
      <c r="P34" s="173">
        <f t="shared" si="67"/>
        <v>0</v>
      </c>
      <c r="Q34" s="174" t="str">
        <f t="shared" si="68"/>
        <v>NO VÁLIDA</v>
      </c>
      <c r="R34" s="282">
        <v>518339</v>
      </c>
      <c r="S34" s="173">
        <f t="shared" si="69"/>
        <v>4522554402</v>
      </c>
      <c r="T34" s="174" t="str">
        <f t="shared" si="70"/>
        <v>VÁLIDA</v>
      </c>
      <c r="U34" s="322">
        <v>515000</v>
      </c>
      <c r="V34" s="173">
        <f t="shared" si="71"/>
        <v>4493421327</v>
      </c>
      <c r="W34" s="174" t="str">
        <f t="shared" si="72"/>
        <v>VÁLIDA</v>
      </c>
      <c r="X34" s="282"/>
      <c r="Y34" s="173">
        <f t="shared" si="73"/>
        <v>0</v>
      </c>
      <c r="Z34" s="174" t="str">
        <f t="shared" si="74"/>
        <v>NO VÁLIDA</v>
      </c>
      <c r="AA34" s="282">
        <v>514814</v>
      </c>
      <c r="AB34" s="173">
        <f t="shared" si="75"/>
        <v>4491798460</v>
      </c>
      <c r="AC34" s="174" t="str">
        <f t="shared" si="76"/>
        <v>VÁLIDA</v>
      </c>
    </row>
    <row r="35" spans="1:29" ht="22.5" customHeight="1" x14ac:dyDescent="0.2">
      <c r="A35" s="11"/>
      <c r="B35" s="168" t="s">
        <v>133</v>
      </c>
      <c r="C35" s="169"/>
      <c r="D35" s="169"/>
      <c r="E35" s="169"/>
      <c r="F35" s="202"/>
      <c r="G35" s="281"/>
      <c r="H35" s="196">
        <f>SUM(H36:H64)</f>
        <v>5255532624</v>
      </c>
      <c r="I35" s="283"/>
      <c r="J35" s="198">
        <f>SUM(J36:J64)</f>
        <v>5255532624</v>
      </c>
      <c r="K35" s="199"/>
      <c r="L35" s="283"/>
      <c r="M35" s="198">
        <f t="shared" ref="M35" si="77">SUM(M36:M64)</f>
        <v>0</v>
      </c>
      <c r="N35" s="199"/>
      <c r="O35" s="283"/>
      <c r="P35" s="198">
        <f t="shared" ref="P35" si="78">SUM(P36:P64)</f>
        <v>0</v>
      </c>
      <c r="Q35" s="199"/>
      <c r="R35" s="283"/>
      <c r="S35" s="198">
        <f t="shared" ref="S35" si="79">SUM(S36:S64)</f>
        <v>5255528474</v>
      </c>
      <c r="T35" s="199"/>
      <c r="U35" s="283"/>
      <c r="V35" s="198">
        <f t="shared" ref="V35" si="80">SUM(V36:V64)</f>
        <v>4571893223</v>
      </c>
      <c r="W35" s="199"/>
      <c r="X35" s="283"/>
      <c r="Y35" s="198">
        <f t="shared" ref="Y35" si="81">SUM(Y36:Y64)</f>
        <v>0</v>
      </c>
      <c r="Z35" s="199"/>
      <c r="AA35" s="283"/>
      <c r="AB35" s="198">
        <f t="shared" ref="AB35" si="82">SUM(AB36:AB64)</f>
        <v>5219776778</v>
      </c>
      <c r="AC35" s="199"/>
    </row>
    <row r="36" spans="1:29" ht="30.6" customHeight="1" x14ac:dyDescent="0.2">
      <c r="A36" s="11"/>
      <c r="B36" s="170">
        <v>19</v>
      </c>
      <c r="C36" s="171" t="s">
        <v>153</v>
      </c>
      <c r="D36" s="310" t="s">
        <v>210</v>
      </c>
      <c r="E36" s="171" t="s">
        <v>100</v>
      </c>
      <c r="F36" s="201">
        <v>7037.4</v>
      </c>
      <c r="G36" s="280">
        <v>5195.0000808095383</v>
      </c>
      <c r="H36" s="172">
        <f t="shared" ref="H36:H64" si="83">ROUND(G36*F36,0)</f>
        <v>36559294</v>
      </c>
      <c r="I36" s="280">
        <v>5195.0000808095383</v>
      </c>
      <c r="J36" s="173">
        <f t="shared" ref="J36:J64" si="84">ROUND($F36*I36,0)</f>
        <v>36559294</v>
      </c>
      <c r="K36" s="174" t="str">
        <f t="shared" ref="K36:K64" si="85">+IF(I36&gt;0,IF(OR(I36&gt;$G36,ROUND(I36,0)&gt;$G36),"NO VÁLIDA","VÁLIDA"),"NO VÁLIDA")</f>
        <v>VÁLIDA</v>
      </c>
      <c r="L36" s="282"/>
      <c r="M36" s="173">
        <f t="shared" ref="M36:M64" si="86">ROUND($F36*L36,0)</f>
        <v>0</v>
      </c>
      <c r="N36" s="174" t="str">
        <f t="shared" ref="N36:N42" si="87">+IF(L36&gt;0,IF(OR(L36&gt;$G36,ROUND(L36,0)&gt;$G36),"NO VÁLIDA","VÁLIDA"),"NO VÁLIDA")</f>
        <v>NO VÁLIDA</v>
      </c>
      <c r="O36" s="282"/>
      <c r="P36" s="173">
        <f t="shared" ref="P36:P64" si="88">ROUND($F36*O36,0)</f>
        <v>0</v>
      </c>
      <c r="Q36" s="174" t="str">
        <f t="shared" ref="Q36:Q42" si="89">+IF(O36&gt;0,IF(OR(O36&gt;$G36,ROUND(O36,0)&gt;$G36),"NO VÁLIDA","VÁLIDA"),"NO VÁLIDA")</f>
        <v>NO VÁLIDA</v>
      </c>
      <c r="R36" s="282">
        <v>5195</v>
      </c>
      <c r="S36" s="173">
        <f t="shared" ref="S36:S64" si="90">ROUND($F36*R36,0)</f>
        <v>36559293</v>
      </c>
      <c r="T36" s="174" t="str">
        <f t="shared" ref="T36:T42" si="91">+IF(R36&gt;0,IF(OR(R36&gt;$G36,ROUND(R36,0)&gt;$G36),"NO VÁLIDA","VÁLIDA"),"NO VÁLIDA")</f>
        <v>VÁLIDA</v>
      </c>
      <c r="U36" s="282">
        <v>5195</v>
      </c>
      <c r="V36" s="173">
        <f t="shared" ref="V36:V64" si="92">ROUND($F36*U36,0)</f>
        <v>36559293</v>
      </c>
      <c r="W36" s="174" t="str">
        <f t="shared" ref="W36:W42" si="93">+IF(U36&gt;0,IF(OR(U36&gt;$G36,ROUND(U36,0)&gt;$G36),"NO VÁLIDA","VÁLIDA"),"NO VÁLIDA")</f>
        <v>VÁLIDA</v>
      </c>
      <c r="X36" s="282"/>
      <c r="Y36" s="173">
        <f t="shared" ref="Y36:Y64" si="94">ROUND($F36*X36,0)</f>
        <v>0</v>
      </c>
      <c r="Z36" s="174" t="str">
        <f t="shared" ref="Z36:Z42" si="95">+IF(X36&gt;0,IF(OR(X36&gt;$G36,ROUND(X36,0)&gt;$G36),"NO VÁLIDA","VÁLIDA"),"NO VÁLIDA")</f>
        <v>NO VÁLIDA</v>
      </c>
      <c r="AA36" s="282">
        <v>5160</v>
      </c>
      <c r="AB36" s="173">
        <f t="shared" ref="AB36:AB64" si="96">ROUND($F36*AA36,0)</f>
        <v>36312984</v>
      </c>
      <c r="AC36" s="174" t="str">
        <f t="shared" ref="AC36:AC42" si="97">+IF(AA36&gt;0,IF(OR(AA36&gt;$G36,ROUND(AA36,0)&gt;$G36),"NO VÁLIDA","VÁLIDA"),"NO VÁLIDA")</f>
        <v>VÁLIDA</v>
      </c>
    </row>
    <row r="37" spans="1:29" ht="40.5" customHeight="1" x14ac:dyDescent="0.2">
      <c r="A37" s="11"/>
      <c r="B37" s="170">
        <v>20</v>
      </c>
      <c r="C37" s="171" t="s">
        <v>96</v>
      </c>
      <c r="D37" s="310" t="s">
        <v>211</v>
      </c>
      <c r="E37" s="171" t="s">
        <v>100</v>
      </c>
      <c r="F37" s="201">
        <v>87</v>
      </c>
      <c r="G37" s="280">
        <v>40946.000000000036</v>
      </c>
      <c r="H37" s="172">
        <f t="shared" ref="H37:H50" si="98">ROUND(G37*F37,0)</f>
        <v>3562302</v>
      </c>
      <c r="I37" s="282">
        <v>40946</v>
      </c>
      <c r="J37" s="173">
        <f t="shared" ref="J37:J50" si="99">ROUND($F37*I37,0)</f>
        <v>3562302</v>
      </c>
      <c r="K37" s="174" t="str">
        <f t="shared" si="85"/>
        <v>VÁLIDA</v>
      </c>
      <c r="L37" s="282"/>
      <c r="M37" s="173">
        <f t="shared" si="86"/>
        <v>0</v>
      </c>
      <c r="N37" s="174" t="str">
        <f t="shared" si="87"/>
        <v>NO VÁLIDA</v>
      </c>
      <c r="O37" s="282"/>
      <c r="P37" s="173">
        <f t="shared" si="88"/>
        <v>0</v>
      </c>
      <c r="Q37" s="174" t="str">
        <f t="shared" si="89"/>
        <v>NO VÁLIDA</v>
      </c>
      <c r="R37" s="282">
        <v>40946</v>
      </c>
      <c r="S37" s="173">
        <f t="shared" si="90"/>
        <v>3562302</v>
      </c>
      <c r="T37" s="174" t="str">
        <f t="shared" si="91"/>
        <v>VÁLIDA</v>
      </c>
      <c r="U37" s="282">
        <v>40946</v>
      </c>
      <c r="V37" s="173">
        <f t="shared" si="92"/>
        <v>3562302</v>
      </c>
      <c r="W37" s="174" t="str">
        <f t="shared" si="93"/>
        <v>VÁLIDA</v>
      </c>
      <c r="X37" s="282"/>
      <c r="Y37" s="173">
        <f t="shared" si="94"/>
        <v>0</v>
      </c>
      <c r="Z37" s="174" t="str">
        <f t="shared" si="95"/>
        <v>NO VÁLIDA</v>
      </c>
      <c r="AA37" s="282">
        <v>40668</v>
      </c>
      <c r="AB37" s="173">
        <f t="shared" si="96"/>
        <v>3538116</v>
      </c>
      <c r="AC37" s="174" t="str">
        <f t="shared" si="97"/>
        <v>VÁLIDA</v>
      </c>
    </row>
    <row r="38" spans="1:29" ht="30.6" customHeight="1" x14ac:dyDescent="0.2">
      <c r="A38" s="11"/>
      <c r="B38" s="170">
        <v>21</v>
      </c>
      <c r="C38" s="171" t="s">
        <v>108</v>
      </c>
      <c r="D38" s="310" t="s">
        <v>212</v>
      </c>
      <c r="E38" s="171" t="s">
        <v>100</v>
      </c>
      <c r="F38" s="201">
        <v>3245.9</v>
      </c>
      <c r="G38" s="280">
        <v>58855.000000000007</v>
      </c>
      <c r="H38" s="172">
        <f t="shared" si="98"/>
        <v>191037445</v>
      </c>
      <c r="I38" s="282">
        <v>58855</v>
      </c>
      <c r="J38" s="173">
        <f t="shared" si="99"/>
        <v>191037445</v>
      </c>
      <c r="K38" s="174" t="str">
        <f t="shared" si="85"/>
        <v>VÁLIDA</v>
      </c>
      <c r="L38" s="282"/>
      <c r="M38" s="173">
        <f t="shared" si="86"/>
        <v>0</v>
      </c>
      <c r="N38" s="174" t="str">
        <f t="shared" si="87"/>
        <v>NO VÁLIDA</v>
      </c>
      <c r="O38" s="282"/>
      <c r="P38" s="173">
        <f t="shared" si="88"/>
        <v>0</v>
      </c>
      <c r="Q38" s="174" t="str">
        <f t="shared" si="89"/>
        <v>NO VÁLIDA</v>
      </c>
      <c r="R38" s="282">
        <v>58855</v>
      </c>
      <c r="S38" s="323">
        <f t="shared" si="90"/>
        <v>191037445</v>
      </c>
      <c r="T38" s="174" t="str">
        <f t="shared" si="91"/>
        <v>VÁLIDA</v>
      </c>
      <c r="U38" s="282">
        <v>58855</v>
      </c>
      <c r="V38" s="173">
        <f t="shared" si="92"/>
        <v>191037445</v>
      </c>
      <c r="W38" s="174" t="str">
        <f t="shared" si="93"/>
        <v>VÁLIDA</v>
      </c>
      <c r="X38" s="282"/>
      <c r="Y38" s="173">
        <f t="shared" si="94"/>
        <v>0</v>
      </c>
      <c r="Z38" s="174" t="str">
        <f t="shared" si="95"/>
        <v>NO VÁLIDA</v>
      </c>
      <c r="AA38" s="282">
        <v>58455</v>
      </c>
      <c r="AB38" s="173">
        <f t="shared" si="96"/>
        <v>189739085</v>
      </c>
      <c r="AC38" s="174" t="str">
        <f t="shared" si="97"/>
        <v>VÁLIDA</v>
      </c>
    </row>
    <row r="39" spans="1:29" ht="40.5" customHeight="1" x14ac:dyDescent="0.2">
      <c r="A39" s="11"/>
      <c r="B39" s="170">
        <v>22</v>
      </c>
      <c r="C39" s="171" t="s">
        <v>109</v>
      </c>
      <c r="D39" s="310" t="s">
        <v>213</v>
      </c>
      <c r="E39" s="171" t="s">
        <v>100</v>
      </c>
      <c r="F39" s="201">
        <v>1381.5</v>
      </c>
      <c r="G39" s="280">
        <v>72021.999999999985</v>
      </c>
      <c r="H39" s="172">
        <f t="shared" si="98"/>
        <v>99498393</v>
      </c>
      <c r="I39" s="282">
        <v>72022</v>
      </c>
      <c r="J39" s="173">
        <f t="shared" si="99"/>
        <v>99498393</v>
      </c>
      <c r="K39" s="174" t="str">
        <f t="shared" si="85"/>
        <v>VÁLIDA</v>
      </c>
      <c r="L39" s="282"/>
      <c r="M39" s="173">
        <f t="shared" si="86"/>
        <v>0</v>
      </c>
      <c r="N39" s="174" t="str">
        <f t="shared" si="87"/>
        <v>NO VÁLIDA</v>
      </c>
      <c r="O39" s="282"/>
      <c r="P39" s="173">
        <f t="shared" si="88"/>
        <v>0</v>
      </c>
      <c r="Q39" s="174" t="str">
        <f t="shared" si="89"/>
        <v>NO VÁLIDA</v>
      </c>
      <c r="R39" s="282">
        <v>72022</v>
      </c>
      <c r="S39" s="173">
        <f t="shared" si="90"/>
        <v>99498393</v>
      </c>
      <c r="T39" s="174" t="str">
        <f t="shared" si="91"/>
        <v>VÁLIDA</v>
      </c>
      <c r="U39" s="282">
        <v>72022</v>
      </c>
      <c r="V39" s="173">
        <f t="shared" si="92"/>
        <v>99498393</v>
      </c>
      <c r="W39" s="174" t="str">
        <f t="shared" si="93"/>
        <v>VÁLIDA</v>
      </c>
      <c r="X39" s="282"/>
      <c r="Y39" s="173">
        <f t="shared" si="94"/>
        <v>0</v>
      </c>
      <c r="Z39" s="174" t="str">
        <f t="shared" si="95"/>
        <v>NO VÁLIDA</v>
      </c>
      <c r="AA39" s="282">
        <v>71532</v>
      </c>
      <c r="AB39" s="173">
        <f t="shared" si="96"/>
        <v>98821458</v>
      </c>
      <c r="AC39" s="174" t="str">
        <f t="shared" si="97"/>
        <v>VÁLIDA</v>
      </c>
    </row>
    <row r="40" spans="1:29" ht="40.5" customHeight="1" x14ac:dyDescent="0.2">
      <c r="A40" s="11"/>
      <c r="B40" s="170">
        <v>23</v>
      </c>
      <c r="C40" s="171" t="s">
        <v>154</v>
      </c>
      <c r="D40" s="310" t="s">
        <v>214</v>
      </c>
      <c r="E40" s="171" t="s">
        <v>100</v>
      </c>
      <c r="F40" s="201">
        <v>80</v>
      </c>
      <c r="G40" s="280">
        <v>78947.000000000131</v>
      </c>
      <c r="H40" s="172">
        <f t="shared" si="98"/>
        <v>6315760</v>
      </c>
      <c r="I40" s="282">
        <v>78947</v>
      </c>
      <c r="J40" s="173">
        <f t="shared" si="99"/>
        <v>6315760</v>
      </c>
      <c r="K40" s="174" t="str">
        <f t="shared" si="85"/>
        <v>VÁLIDA</v>
      </c>
      <c r="L40" s="282"/>
      <c r="M40" s="173">
        <f t="shared" si="86"/>
        <v>0</v>
      </c>
      <c r="N40" s="174" t="str">
        <f t="shared" si="87"/>
        <v>NO VÁLIDA</v>
      </c>
      <c r="O40" s="282"/>
      <c r="P40" s="173">
        <f t="shared" si="88"/>
        <v>0</v>
      </c>
      <c r="Q40" s="174" t="str">
        <f t="shared" si="89"/>
        <v>NO VÁLIDA</v>
      </c>
      <c r="R40" s="282">
        <v>78947</v>
      </c>
      <c r="S40" s="173">
        <f t="shared" si="90"/>
        <v>6315760</v>
      </c>
      <c r="T40" s="174" t="str">
        <f t="shared" si="91"/>
        <v>VÁLIDA</v>
      </c>
      <c r="U40" s="282">
        <v>78947</v>
      </c>
      <c r="V40" s="173">
        <f t="shared" si="92"/>
        <v>6315760</v>
      </c>
      <c r="W40" s="174" t="str">
        <f t="shared" si="93"/>
        <v>VÁLIDA</v>
      </c>
      <c r="X40" s="282"/>
      <c r="Y40" s="173">
        <f t="shared" si="94"/>
        <v>0</v>
      </c>
      <c r="Z40" s="174" t="str">
        <f t="shared" si="95"/>
        <v>NO VÁLIDA</v>
      </c>
      <c r="AA40" s="282">
        <v>78410</v>
      </c>
      <c r="AB40" s="173">
        <f t="shared" si="96"/>
        <v>6272800</v>
      </c>
      <c r="AC40" s="174" t="str">
        <f t="shared" si="97"/>
        <v>VÁLIDA</v>
      </c>
    </row>
    <row r="41" spans="1:29" ht="30.6" customHeight="1" x14ac:dyDescent="0.2">
      <c r="A41" s="11"/>
      <c r="B41" s="170">
        <v>24</v>
      </c>
      <c r="C41" s="171" t="s">
        <v>155</v>
      </c>
      <c r="D41" s="310" t="s">
        <v>215</v>
      </c>
      <c r="E41" s="171" t="s">
        <v>100</v>
      </c>
      <c r="F41" s="201">
        <v>355.9</v>
      </c>
      <c r="G41" s="280">
        <v>64738</v>
      </c>
      <c r="H41" s="172">
        <f t="shared" si="98"/>
        <v>23040254</v>
      </c>
      <c r="I41" s="282">
        <v>64738</v>
      </c>
      <c r="J41" s="173">
        <f t="shared" si="99"/>
        <v>23040254</v>
      </c>
      <c r="K41" s="174" t="str">
        <f t="shared" si="85"/>
        <v>VÁLIDA</v>
      </c>
      <c r="L41" s="282"/>
      <c r="M41" s="173">
        <f t="shared" si="86"/>
        <v>0</v>
      </c>
      <c r="N41" s="174" t="str">
        <f t="shared" si="87"/>
        <v>NO VÁLIDA</v>
      </c>
      <c r="O41" s="282"/>
      <c r="P41" s="173">
        <f t="shared" si="88"/>
        <v>0</v>
      </c>
      <c r="Q41" s="174" t="str">
        <f t="shared" si="89"/>
        <v>NO VÁLIDA</v>
      </c>
      <c r="R41" s="282">
        <v>64738</v>
      </c>
      <c r="S41" s="323">
        <f t="shared" si="90"/>
        <v>23040254</v>
      </c>
      <c r="T41" s="174" t="str">
        <f t="shared" si="91"/>
        <v>VÁLIDA</v>
      </c>
      <c r="U41" s="282">
        <v>64738</v>
      </c>
      <c r="V41" s="173">
        <f t="shared" si="92"/>
        <v>23040254</v>
      </c>
      <c r="W41" s="174" t="str">
        <f t="shared" si="93"/>
        <v>VÁLIDA</v>
      </c>
      <c r="X41" s="282"/>
      <c r="Y41" s="173">
        <f t="shared" si="94"/>
        <v>0</v>
      </c>
      <c r="Z41" s="174" t="str">
        <f t="shared" si="95"/>
        <v>NO VÁLIDA</v>
      </c>
      <c r="AA41" s="282">
        <v>64298</v>
      </c>
      <c r="AB41" s="173">
        <f t="shared" si="96"/>
        <v>22883658</v>
      </c>
      <c r="AC41" s="174" t="str">
        <f t="shared" si="97"/>
        <v>VÁLIDA</v>
      </c>
    </row>
    <row r="42" spans="1:29" ht="40.5" customHeight="1" x14ac:dyDescent="0.2">
      <c r="A42" s="11"/>
      <c r="B42" s="170">
        <v>25</v>
      </c>
      <c r="C42" s="171" t="s">
        <v>156</v>
      </c>
      <c r="D42" s="310" t="s">
        <v>216</v>
      </c>
      <c r="E42" s="171" t="s">
        <v>194</v>
      </c>
      <c r="F42" s="201">
        <v>50</v>
      </c>
      <c r="G42" s="280">
        <v>1307842</v>
      </c>
      <c r="H42" s="172">
        <f t="shared" si="98"/>
        <v>65392100</v>
      </c>
      <c r="I42" s="282">
        <v>1307842</v>
      </c>
      <c r="J42" s="173">
        <f t="shared" si="99"/>
        <v>65392100</v>
      </c>
      <c r="K42" s="174" t="str">
        <f t="shared" si="85"/>
        <v>VÁLIDA</v>
      </c>
      <c r="L42" s="282"/>
      <c r="M42" s="173">
        <f t="shared" si="86"/>
        <v>0</v>
      </c>
      <c r="N42" s="174" t="str">
        <f t="shared" si="87"/>
        <v>NO VÁLIDA</v>
      </c>
      <c r="O42" s="282"/>
      <c r="P42" s="173">
        <f t="shared" si="88"/>
        <v>0</v>
      </c>
      <c r="Q42" s="174" t="str">
        <f t="shared" si="89"/>
        <v>NO VÁLIDA</v>
      </c>
      <c r="R42" s="282">
        <v>1307842</v>
      </c>
      <c r="S42" s="173">
        <f t="shared" si="90"/>
        <v>65392100</v>
      </c>
      <c r="T42" s="174" t="str">
        <f t="shared" si="91"/>
        <v>VÁLIDA</v>
      </c>
      <c r="U42" s="282">
        <v>1307842</v>
      </c>
      <c r="V42" s="173">
        <f t="shared" si="92"/>
        <v>65392100</v>
      </c>
      <c r="W42" s="174" t="str">
        <f t="shared" si="93"/>
        <v>VÁLIDA</v>
      </c>
      <c r="X42" s="282"/>
      <c r="Y42" s="173">
        <f t="shared" si="94"/>
        <v>0</v>
      </c>
      <c r="Z42" s="174" t="str">
        <f t="shared" si="95"/>
        <v>NO VÁLIDA</v>
      </c>
      <c r="AA42" s="282">
        <v>1298949</v>
      </c>
      <c r="AB42" s="173">
        <f t="shared" si="96"/>
        <v>64947450</v>
      </c>
      <c r="AC42" s="174" t="str">
        <f t="shared" si="97"/>
        <v>VÁLIDA</v>
      </c>
    </row>
    <row r="43" spans="1:29" ht="30.6" customHeight="1" x14ac:dyDescent="0.2">
      <c r="A43" s="11"/>
      <c r="B43" s="170">
        <v>26</v>
      </c>
      <c r="C43" s="171" t="s">
        <v>157</v>
      </c>
      <c r="D43" s="310" t="s">
        <v>217</v>
      </c>
      <c r="E43" s="171" t="s">
        <v>100</v>
      </c>
      <c r="F43" s="201">
        <v>35</v>
      </c>
      <c r="G43" s="280">
        <v>647076.99995330756</v>
      </c>
      <c r="H43" s="172">
        <f t="shared" si="98"/>
        <v>22647695</v>
      </c>
      <c r="I43" s="280">
        <v>647076.99995330756</v>
      </c>
      <c r="J43" s="173">
        <f t="shared" si="99"/>
        <v>22647695</v>
      </c>
      <c r="K43" s="174" t="str">
        <f>+IF(I43&gt;0,IF(OR(I43&gt;$G43),"NO VÁLIDA","VÁLIDA"),"NO VÁLIDA")</f>
        <v>VÁLIDA</v>
      </c>
      <c r="L43" s="282"/>
      <c r="M43" s="173">
        <f t="shared" si="86"/>
        <v>0</v>
      </c>
      <c r="N43" s="174" t="str">
        <f t="shared" ref="N43:N45" si="100">+IF(L43&gt;0,IF(OR(L43&gt;$G43),"NO VÁLIDA","VÁLIDA"),"NO VÁLIDA")</f>
        <v>NO VÁLIDA</v>
      </c>
      <c r="O43" s="282"/>
      <c r="P43" s="173">
        <f t="shared" si="88"/>
        <v>0</v>
      </c>
      <c r="Q43" s="174" t="str">
        <f t="shared" ref="Q43:Q45" si="101">+IF(O43&gt;0,IF(OR(O43&gt;$G43),"NO VÁLIDA","VÁLIDA"),"NO VÁLIDA")</f>
        <v>NO VÁLIDA</v>
      </c>
      <c r="R43" s="282">
        <v>647076</v>
      </c>
      <c r="S43" s="173">
        <f t="shared" si="90"/>
        <v>22647660</v>
      </c>
      <c r="T43" s="174" t="str">
        <f t="shared" ref="T43:T45" si="102">+IF(R43&gt;0,IF(OR(R43&gt;$G43),"NO VÁLIDA","VÁLIDA"),"NO VÁLIDA")</f>
        <v>VÁLIDA</v>
      </c>
      <c r="U43" s="280">
        <v>647076.99995330756</v>
      </c>
      <c r="V43" s="173">
        <f t="shared" si="92"/>
        <v>22647695</v>
      </c>
      <c r="W43" s="174" t="str">
        <f t="shared" ref="W43:W45" si="103">+IF(U43&gt;0,IF(OR(U43&gt;$G43),"NO VÁLIDA","VÁLIDA"),"NO VÁLIDA")</f>
        <v>VÁLIDA</v>
      </c>
      <c r="X43" s="282"/>
      <c r="Y43" s="173">
        <f t="shared" si="94"/>
        <v>0</v>
      </c>
      <c r="Z43" s="174" t="str">
        <f t="shared" ref="Z43:Z45" si="104">+IF(X43&gt;0,IF(OR(X43&gt;$G43),"NO VÁLIDA","VÁLIDA"),"NO VÁLIDA")</f>
        <v>NO VÁLIDA</v>
      </c>
      <c r="AA43" s="282">
        <v>642677</v>
      </c>
      <c r="AB43" s="173">
        <f t="shared" si="96"/>
        <v>22493695</v>
      </c>
      <c r="AC43" s="174" t="str">
        <f t="shared" ref="AC43:AC45" si="105">+IF(AA43&gt;0,IF(OR(AA43&gt;$G43),"NO VÁLIDA","VÁLIDA"),"NO VÁLIDA")</f>
        <v>VÁLIDA</v>
      </c>
    </row>
    <row r="44" spans="1:29" ht="40.5" customHeight="1" x14ac:dyDescent="0.2">
      <c r="A44" s="11"/>
      <c r="B44" s="170">
        <v>27</v>
      </c>
      <c r="C44" s="171" t="s">
        <v>158</v>
      </c>
      <c r="D44" s="310" t="s">
        <v>218</v>
      </c>
      <c r="E44" s="171" t="s">
        <v>100</v>
      </c>
      <c r="F44" s="201">
        <v>35</v>
      </c>
      <c r="G44" s="280">
        <v>670554.99985503242</v>
      </c>
      <c r="H44" s="172">
        <f t="shared" si="98"/>
        <v>23469425</v>
      </c>
      <c r="I44" s="280">
        <v>670554.99985503242</v>
      </c>
      <c r="J44" s="173">
        <f t="shared" si="99"/>
        <v>23469425</v>
      </c>
      <c r="K44" s="174" t="str">
        <f>+IF(I44&gt;0,IF(OR(I44&gt;$G44),"NO VÁLIDA","VÁLIDA"),"NO VÁLIDA")</f>
        <v>VÁLIDA</v>
      </c>
      <c r="L44" s="282"/>
      <c r="M44" s="173">
        <f t="shared" si="86"/>
        <v>0</v>
      </c>
      <c r="N44" s="174" t="str">
        <f t="shared" si="100"/>
        <v>NO VÁLIDA</v>
      </c>
      <c r="O44" s="282"/>
      <c r="P44" s="173">
        <f t="shared" si="88"/>
        <v>0</v>
      </c>
      <c r="Q44" s="174" t="str">
        <f t="shared" si="101"/>
        <v>NO VÁLIDA</v>
      </c>
      <c r="R44" s="282">
        <v>670554</v>
      </c>
      <c r="S44" s="173">
        <f t="shared" si="90"/>
        <v>23469390</v>
      </c>
      <c r="T44" s="174" t="str">
        <f t="shared" si="102"/>
        <v>VÁLIDA</v>
      </c>
      <c r="U44" s="280">
        <v>670554.99985503242</v>
      </c>
      <c r="V44" s="173">
        <f t="shared" si="92"/>
        <v>23469425</v>
      </c>
      <c r="W44" s="174" t="str">
        <f t="shared" si="103"/>
        <v>VÁLIDA</v>
      </c>
      <c r="X44" s="282"/>
      <c r="Y44" s="173">
        <f t="shared" si="94"/>
        <v>0</v>
      </c>
      <c r="Z44" s="174" t="str">
        <f t="shared" si="104"/>
        <v>NO VÁLIDA</v>
      </c>
      <c r="AA44" s="282">
        <v>665995</v>
      </c>
      <c r="AB44" s="173">
        <f t="shared" si="96"/>
        <v>23309825</v>
      </c>
      <c r="AC44" s="174" t="str">
        <f t="shared" si="105"/>
        <v>VÁLIDA</v>
      </c>
    </row>
    <row r="45" spans="1:29" ht="40.5" customHeight="1" x14ac:dyDescent="0.2">
      <c r="A45" s="11"/>
      <c r="B45" s="170">
        <v>28</v>
      </c>
      <c r="C45" s="171" t="s">
        <v>159</v>
      </c>
      <c r="D45" s="310" t="s">
        <v>219</v>
      </c>
      <c r="E45" s="171" t="s">
        <v>100</v>
      </c>
      <c r="F45" s="201">
        <v>35</v>
      </c>
      <c r="G45" s="280">
        <v>523722.99997549126</v>
      </c>
      <c r="H45" s="172">
        <f t="shared" si="98"/>
        <v>18330305</v>
      </c>
      <c r="I45" s="280">
        <v>523722.99997549126</v>
      </c>
      <c r="J45" s="173">
        <f t="shared" si="99"/>
        <v>18330305</v>
      </c>
      <c r="K45" s="174" t="str">
        <f>+IF(I45&gt;0,IF(OR(I45&gt;$G45),"NO VÁLIDA","VÁLIDA"),"NO VÁLIDA")</f>
        <v>VÁLIDA</v>
      </c>
      <c r="L45" s="282"/>
      <c r="M45" s="173">
        <f t="shared" si="86"/>
        <v>0</v>
      </c>
      <c r="N45" s="174" t="str">
        <f t="shared" si="100"/>
        <v>NO VÁLIDA</v>
      </c>
      <c r="O45" s="282"/>
      <c r="P45" s="173">
        <f t="shared" si="88"/>
        <v>0</v>
      </c>
      <c r="Q45" s="174" t="str">
        <f t="shared" si="101"/>
        <v>NO VÁLIDA</v>
      </c>
      <c r="R45" s="282">
        <v>523722</v>
      </c>
      <c r="S45" s="173">
        <f t="shared" si="90"/>
        <v>18330270</v>
      </c>
      <c r="T45" s="174" t="str">
        <f t="shared" si="102"/>
        <v>VÁLIDA</v>
      </c>
      <c r="U45" s="280">
        <v>523722.99997549126</v>
      </c>
      <c r="V45" s="173">
        <f t="shared" si="92"/>
        <v>18330305</v>
      </c>
      <c r="W45" s="174" t="str">
        <f t="shared" si="103"/>
        <v>VÁLIDA</v>
      </c>
      <c r="X45" s="282"/>
      <c r="Y45" s="173">
        <f t="shared" si="94"/>
        <v>0</v>
      </c>
      <c r="Z45" s="174" t="str">
        <f t="shared" si="104"/>
        <v>NO VÁLIDA</v>
      </c>
      <c r="AA45" s="282">
        <v>520162</v>
      </c>
      <c r="AB45" s="173">
        <f t="shared" si="96"/>
        <v>18205670</v>
      </c>
      <c r="AC45" s="174" t="str">
        <f t="shared" si="105"/>
        <v>VÁLIDA</v>
      </c>
    </row>
    <row r="46" spans="1:29" ht="40.5" customHeight="1" x14ac:dyDescent="0.2">
      <c r="A46" s="11"/>
      <c r="B46" s="170">
        <v>29</v>
      </c>
      <c r="C46" s="171" t="s">
        <v>160</v>
      </c>
      <c r="D46" s="310" t="s">
        <v>220</v>
      </c>
      <c r="E46" s="171" t="s">
        <v>100</v>
      </c>
      <c r="F46" s="201">
        <v>45</v>
      </c>
      <c r="G46" s="280">
        <v>560702.0004669039</v>
      </c>
      <c r="H46" s="172">
        <f t="shared" si="98"/>
        <v>25231590</v>
      </c>
      <c r="I46" s="282">
        <v>560702</v>
      </c>
      <c r="J46" s="173">
        <f t="shared" si="99"/>
        <v>25231590</v>
      </c>
      <c r="K46" s="174" t="str">
        <f t="shared" si="85"/>
        <v>VÁLIDA</v>
      </c>
      <c r="L46" s="282"/>
      <c r="M46" s="173">
        <f t="shared" si="86"/>
        <v>0</v>
      </c>
      <c r="N46" s="174" t="str">
        <f t="shared" ref="N46:N47" si="106">+IF(L46&gt;0,IF(OR(L46&gt;$G46,ROUND(L46,0)&gt;$G46),"NO VÁLIDA","VÁLIDA"),"NO VÁLIDA")</f>
        <v>NO VÁLIDA</v>
      </c>
      <c r="O46" s="282"/>
      <c r="P46" s="173">
        <f t="shared" si="88"/>
        <v>0</v>
      </c>
      <c r="Q46" s="174" t="str">
        <f t="shared" ref="Q46:Q47" si="107">+IF(O46&gt;0,IF(OR(O46&gt;$G46,ROUND(O46,0)&gt;$G46),"NO VÁLIDA","VÁLIDA"),"NO VÁLIDA")</f>
        <v>NO VÁLIDA</v>
      </c>
      <c r="R46" s="282">
        <v>560702</v>
      </c>
      <c r="S46" s="173">
        <f t="shared" si="90"/>
        <v>25231590</v>
      </c>
      <c r="T46" s="174" t="str">
        <f t="shared" ref="T46:T47" si="108">+IF(R46&gt;0,IF(OR(R46&gt;$G46,ROUND(R46,0)&gt;$G46),"NO VÁLIDA","VÁLIDA"),"NO VÁLIDA")</f>
        <v>VÁLIDA</v>
      </c>
      <c r="U46" s="282">
        <v>560702</v>
      </c>
      <c r="V46" s="173">
        <f t="shared" si="92"/>
        <v>25231590</v>
      </c>
      <c r="W46" s="174" t="str">
        <f t="shared" ref="W46:W47" si="109">+IF(U46&gt;0,IF(OR(U46&gt;$G46,ROUND(U46,0)&gt;$G46),"NO VÁLIDA","VÁLIDA"),"NO VÁLIDA")</f>
        <v>VÁLIDA</v>
      </c>
      <c r="X46" s="282"/>
      <c r="Y46" s="173">
        <f t="shared" si="94"/>
        <v>0</v>
      </c>
      <c r="Z46" s="174" t="str">
        <f t="shared" ref="Z46:Z47" si="110">+IF(X46&gt;0,IF(OR(X46&gt;$G46,ROUND(X46,0)&gt;$G46),"NO VÁLIDA","VÁLIDA"),"NO VÁLIDA")</f>
        <v>NO VÁLIDA</v>
      </c>
      <c r="AA46" s="282">
        <v>556889</v>
      </c>
      <c r="AB46" s="173">
        <f t="shared" si="96"/>
        <v>25060005</v>
      </c>
      <c r="AC46" s="174" t="str">
        <f t="shared" ref="AC46:AC47" si="111">+IF(AA46&gt;0,IF(OR(AA46&gt;$G46,ROUND(AA46,0)&gt;$G46),"NO VÁLIDA","VÁLIDA"),"NO VÁLIDA")</f>
        <v>VÁLIDA</v>
      </c>
    </row>
    <row r="47" spans="1:29" ht="40.5" customHeight="1" x14ac:dyDescent="0.2">
      <c r="A47" s="11"/>
      <c r="B47" s="170">
        <v>30</v>
      </c>
      <c r="C47" s="171" t="s">
        <v>161</v>
      </c>
      <c r="D47" s="310" t="s">
        <v>221</v>
      </c>
      <c r="E47" s="171" t="s">
        <v>100</v>
      </c>
      <c r="F47" s="201">
        <v>45</v>
      </c>
      <c r="G47" s="280">
        <v>572227.00064891472</v>
      </c>
      <c r="H47" s="172">
        <f t="shared" si="98"/>
        <v>25750215</v>
      </c>
      <c r="I47" s="282">
        <v>572227</v>
      </c>
      <c r="J47" s="173">
        <f t="shared" si="99"/>
        <v>25750215</v>
      </c>
      <c r="K47" s="174" t="str">
        <f t="shared" si="85"/>
        <v>VÁLIDA</v>
      </c>
      <c r="L47" s="282"/>
      <c r="M47" s="173">
        <f t="shared" si="86"/>
        <v>0</v>
      </c>
      <c r="N47" s="174" t="str">
        <f t="shared" si="106"/>
        <v>NO VÁLIDA</v>
      </c>
      <c r="O47" s="282"/>
      <c r="P47" s="173">
        <f t="shared" si="88"/>
        <v>0</v>
      </c>
      <c r="Q47" s="174" t="str">
        <f t="shared" si="107"/>
        <v>NO VÁLIDA</v>
      </c>
      <c r="R47" s="282">
        <v>572227</v>
      </c>
      <c r="S47" s="173">
        <f t="shared" si="90"/>
        <v>25750215</v>
      </c>
      <c r="T47" s="174" t="str">
        <f t="shared" si="108"/>
        <v>VÁLIDA</v>
      </c>
      <c r="U47" s="282">
        <v>572227</v>
      </c>
      <c r="V47" s="173">
        <f t="shared" si="92"/>
        <v>25750215</v>
      </c>
      <c r="W47" s="174" t="str">
        <f t="shared" si="109"/>
        <v>VÁLIDA</v>
      </c>
      <c r="X47" s="282"/>
      <c r="Y47" s="173">
        <f t="shared" si="94"/>
        <v>0</v>
      </c>
      <c r="Z47" s="174" t="str">
        <f t="shared" si="110"/>
        <v>NO VÁLIDA</v>
      </c>
      <c r="AA47" s="282">
        <v>568336</v>
      </c>
      <c r="AB47" s="173">
        <f t="shared" si="96"/>
        <v>25575120</v>
      </c>
      <c r="AC47" s="174" t="str">
        <f t="shared" si="111"/>
        <v>VÁLIDA</v>
      </c>
    </row>
    <row r="48" spans="1:29" ht="40.5" customHeight="1" x14ac:dyDescent="0.2">
      <c r="A48" s="11"/>
      <c r="B48" s="170">
        <v>31</v>
      </c>
      <c r="C48" s="171" t="s">
        <v>162</v>
      </c>
      <c r="D48" s="310" t="s">
        <v>222</v>
      </c>
      <c r="E48" s="171" t="s">
        <v>100</v>
      </c>
      <c r="F48" s="201">
        <v>2427.6999999999998</v>
      </c>
      <c r="G48" s="280">
        <v>570054.87063045963</v>
      </c>
      <c r="H48" s="172">
        <f t="shared" si="98"/>
        <v>1383922209</v>
      </c>
      <c r="I48" s="280">
        <v>570054.87063045963</v>
      </c>
      <c r="J48" s="173">
        <f t="shared" si="99"/>
        <v>1383922209</v>
      </c>
      <c r="K48" s="174" t="str">
        <f>+IF(I48&gt;0,IF(OR(I48&gt;$G48),"NO VÁLIDA","VÁLIDA"),"NO VÁLIDA")</f>
        <v>VÁLIDA</v>
      </c>
      <c r="L48" s="282"/>
      <c r="M48" s="173">
        <f t="shared" si="86"/>
        <v>0</v>
      </c>
      <c r="N48" s="174" t="str">
        <f t="shared" ref="N48" si="112">+IF(L48&gt;0,IF(OR(L48&gt;$G48),"NO VÁLIDA","VÁLIDA"),"NO VÁLIDA")</f>
        <v>NO VÁLIDA</v>
      </c>
      <c r="O48" s="282"/>
      <c r="P48" s="173">
        <f t="shared" si="88"/>
        <v>0</v>
      </c>
      <c r="Q48" s="174" t="str">
        <f t="shared" ref="Q48" si="113">+IF(O48&gt;0,IF(OR(O48&gt;$G48),"NO VÁLIDA","VÁLIDA"),"NO VÁLIDA")</f>
        <v>NO VÁLIDA</v>
      </c>
      <c r="R48" s="282">
        <v>570054</v>
      </c>
      <c r="S48" s="323">
        <f t="shared" si="90"/>
        <v>1383920096</v>
      </c>
      <c r="T48" s="174" t="str">
        <f t="shared" ref="T48" si="114">+IF(R48&gt;0,IF(OR(R48&gt;$G48),"NO VÁLIDA","VÁLIDA"),"NO VÁLIDA")</f>
        <v>VÁLIDA</v>
      </c>
      <c r="U48" s="282">
        <v>570055</v>
      </c>
      <c r="V48" s="173">
        <f t="shared" si="92"/>
        <v>1383922524</v>
      </c>
      <c r="W48" s="174" t="str">
        <f t="shared" ref="W48" si="115">+IF(U48&gt;0,IF(OR(U48&gt;$G48),"NO VÁLIDA","VÁLIDA"),"NO VÁLIDA")</f>
        <v>NO VÁLIDA</v>
      </c>
      <c r="X48" s="282"/>
      <c r="Y48" s="173">
        <f t="shared" si="94"/>
        <v>0</v>
      </c>
      <c r="Z48" s="174" t="str">
        <f t="shared" ref="Z48" si="116">+IF(X48&gt;0,IF(OR(X48&gt;$G48),"NO VÁLIDA","VÁLIDA"),"NO VÁLIDA")</f>
        <v>NO VÁLIDA</v>
      </c>
      <c r="AA48" s="282">
        <v>566178</v>
      </c>
      <c r="AB48" s="173">
        <f t="shared" si="96"/>
        <v>1374510331</v>
      </c>
      <c r="AC48" s="174" t="str">
        <f t="shared" ref="AC48" si="117">+IF(AA48&gt;0,IF(OR(AA48&gt;$G48),"NO VÁLIDA","VÁLIDA"),"NO VÁLIDA")</f>
        <v>VÁLIDA</v>
      </c>
    </row>
    <row r="49" spans="1:29" ht="40.5" customHeight="1" x14ac:dyDescent="0.2">
      <c r="A49" s="11"/>
      <c r="B49" s="170">
        <v>32</v>
      </c>
      <c r="C49" s="171" t="s">
        <v>163</v>
      </c>
      <c r="D49" s="310" t="s">
        <v>223</v>
      </c>
      <c r="E49" s="171" t="s">
        <v>100</v>
      </c>
      <c r="F49" s="201">
        <v>67.2</v>
      </c>
      <c r="G49" s="280">
        <v>1002901.0000002305</v>
      </c>
      <c r="H49" s="172">
        <f t="shared" si="98"/>
        <v>67394947</v>
      </c>
      <c r="I49" s="282">
        <v>1002901</v>
      </c>
      <c r="J49" s="173">
        <f t="shared" si="99"/>
        <v>67394947</v>
      </c>
      <c r="K49" s="174" t="str">
        <f t="shared" si="85"/>
        <v>VÁLIDA</v>
      </c>
      <c r="L49" s="282"/>
      <c r="M49" s="173">
        <f t="shared" si="86"/>
        <v>0</v>
      </c>
      <c r="N49" s="174" t="str">
        <f t="shared" ref="N49:N50" si="118">+IF(L49&gt;0,IF(OR(L49&gt;$G49,ROUND(L49,0)&gt;$G49),"NO VÁLIDA","VÁLIDA"),"NO VÁLIDA")</f>
        <v>NO VÁLIDA</v>
      </c>
      <c r="O49" s="282"/>
      <c r="P49" s="173">
        <f t="shared" si="88"/>
        <v>0</v>
      </c>
      <c r="Q49" s="174" t="str">
        <f t="shared" ref="Q49:Q50" si="119">+IF(O49&gt;0,IF(OR(O49&gt;$G49,ROUND(O49,0)&gt;$G49),"NO VÁLIDA","VÁLIDA"),"NO VÁLIDA")</f>
        <v>NO VÁLIDA</v>
      </c>
      <c r="R49" s="280">
        <v>1002901.0000002305</v>
      </c>
      <c r="S49" s="323">
        <f t="shared" si="90"/>
        <v>67394947</v>
      </c>
      <c r="T49" s="174" t="str">
        <f t="shared" ref="T49:T50" si="120">+IF(R49&gt;0,IF(OR(R49&gt;$G49,ROUND(R49,0)&gt;$G49),"NO VÁLIDA","VÁLIDA"),"NO VÁLIDA")</f>
        <v>VÁLIDA</v>
      </c>
      <c r="U49" s="282">
        <v>1002901</v>
      </c>
      <c r="V49" s="173">
        <f t="shared" si="92"/>
        <v>67394947</v>
      </c>
      <c r="W49" s="174" t="str">
        <f t="shared" ref="W49:W50" si="121">+IF(U49&gt;0,IF(OR(U49&gt;$G49,ROUND(U49,0)&gt;$G49),"NO VÁLIDA","VÁLIDA"),"NO VÁLIDA")</f>
        <v>VÁLIDA</v>
      </c>
      <c r="X49" s="282"/>
      <c r="Y49" s="173">
        <f t="shared" si="94"/>
        <v>0</v>
      </c>
      <c r="Z49" s="174" t="str">
        <f t="shared" ref="Z49:Z50" si="122">+IF(X49&gt;0,IF(OR(X49&gt;$G49,ROUND(X49,0)&gt;$G49),"NO VÁLIDA","VÁLIDA"),"NO VÁLIDA")</f>
        <v>NO VÁLIDA</v>
      </c>
      <c r="AA49" s="282">
        <v>996081</v>
      </c>
      <c r="AB49" s="173">
        <f t="shared" si="96"/>
        <v>66936643</v>
      </c>
      <c r="AC49" s="174" t="str">
        <f t="shared" ref="AC49:AC50" si="123">+IF(AA49&gt;0,IF(OR(AA49&gt;$G49,ROUND(AA49,0)&gt;$G49),"NO VÁLIDA","VÁLIDA"),"NO VÁLIDA")</f>
        <v>VÁLIDA</v>
      </c>
    </row>
    <row r="50" spans="1:29" ht="50.45" customHeight="1" x14ac:dyDescent="0.2">
      <c r="A50" s="11"/>
      <c r="B50" s="170">
        <v>33</v>
      </c>
      <c r="C50" s="171" t="s">
        <v>164</v>
      </c>
      <c r="D50" s="310" t="s">
        <v>224</v>
      </c>
      <c r="E50" s="171" t="s">
        <v>100</v>
      </c>
      <c r="F50" s="201">
        <v>25</v>
      </c>
      <c r="G50" s="280">
        <v>526638.00064310501</v>
      </c>
      <c r="H50" s="172">
        <f t="shared" si="98"/>
        <v>13165950</v>
      </c>
      <c r="I50" s="282">
        <v>526638</v>
      </c>
      <c r="J50" s="173">
        <f t="shared" si="99"/>
        <v>13165950</v>
      </c>
      <c r="K50" s="174" t="str">
        <f t="shared" si="85"/>
        <v>VÁLIDA</v>
      </c>
      <c r="L50" s="282"/>
      <c r="M50" s="173">
        <f t="shared" si="86"/>
        <v>0</v>
      </c>
      <c r="N50" s="174" t="str">
        <f t="shared" si="118"/>
        <v>NO VÁLIDA</v>
      </c>
      <c r="O50" s="282"/>
      <c r="P50" s="173">
        <f t="shared" si="88"/>
        <v>0</v>
      </c>
      <c r="Q50" s="174" t="str">
        <f t="shared" si="119"/>
        <v>NO VÁLIDA</v>
      </c>
      <c r="R50" s="282">
        <v>526638</v>
      </c>
      <c r="S50" s="173">
        <f t="shared" si="90"/>
        <v>13165950</v>
      </c>
      <c r="T50" s="174" t="str">
        <f t="shared" si="120"/>
        <v>VÁLIDA</v>
      </c>
      <c r="U50" s="282">
        <v>526638</v>
      </c>
      <c r="V50" s="173">
        <f t="shared" si="92"/>
        <v>13165950</v>
      </c>
      <c r="W50" s="174" t="str">
        <f t="shared" si="121"/>
        <v>VÁLIDA</v>
      </c>
      <c r="X50" s="282"/>
      <c r="Y50" s="173">
        <f t="shared" si="94"/>
        <v>0</v>
      </c>
      <c r="Z50" s="174" t="str">
        <f t="shared" si="122"/>
        <v>NO VÁLIDA</v>
      </c>
      <c r="AA50" s="282">
        <v>523057</v>
      </c>
      <c r="AB50" s="173">
        <f t="shared" si="96"/>
        <v>13076425</v>
      </c>
      <c r="AC50" s="174" t="str">
        <f t="shared" si="123"/>
        <v>VÁLIDA</v>
      </c>
    </row>
    <row r="51" spans="1:29" ht="40.5" customHeight="1" x14ac:dyDescent="0.2">
      <c r="A51" s="11"/>
      <c r="B51" s="170">
        <v>34</v>
      </c>
      <c r="C51" s="171" t="s">
        <v>97</v>
      </c>
      <c r="D51" s="310" t="s">
        <v>225</v>
      </c>
      <c r="E51" s="171" t="s">
        <v>100</v>
      </c>
      <c r="F51" s="201">
        <v>191.7</v>
      </c>
      <c r="G51" s="280">
        <v>401716.99999998393</v>
      </c>
      <c r="H51" s="172">
        <f t="shared" si="83"/>
        <v>77009149</v>
      </c>
      <c r="I51" s="280">
        <v>401716.99999998393</v>
      </c>
      <c r="J51" s="173">
        <f t="shared" si="84"/>
        <v>77009149</v>
      </c>
      <c r="K51" s="174" t="str">
        <f>+IF(I51&gt;0,IF(OR(I51&gt;$G51),"NO VÁLIDA","VÁLIDA"),"NO VÁLIDA")</f>
        <v>VÁLIDA</v>
      </c>
      <c r="L51" s="282"/>
      <c r="M51" s="173">
        <f t="shared" si="86"/>
        <v>0</v>
      </c>
      <c r="N51" s="174" t="str">
        <f t="shared" ref="N51" si="124">+IF(L51&gt;0,IF(OR(L51&gt;$G51),"NO VÁLIDA","VÁLIDA"),"NO VÁLIDA")</f>
        <v>NO VÁLIDA</v>
      </c>
      <c r="O51" s="282"/>
      <c r="P51" s="173">
        <f t="shared" si="88"/>
        <v>0</v>
      </c>
      <c r="Q51" s="174" t="str">
        <f t="shared" ref="Q51" si="125">+IF(O51&gt;0,IF(OR(O51&gt;$G51),"NO VÁLIDA","VÁLIDA"),"NO VÁLIDA")</f>
        <v>NO VÁLIDA</v>
      </c>
      <c r="R51" s="282">
        <v>401716</v>
      </c>
      <c r="S51" s="173">
        <f t="shared" si="90"/>
        <v>77008957</v>
      </c>
      <c r="T51" s="174" t="str">
        <f t="shared" ref="T51" si="126">+IF(R51&gt;0,IF(OR(R51&gt;$G51),"NO VÁLIDA","VÁLIDA"),"NO VÁLIDA")</f>
        <v>VÁLIDA</v>
      </c>
      <c r="U51" s="282">
        <v>401717</v>
      </c>
      <c r="V51" s="173">
        <f t="shared" si="92"/>
        <v>77009149</v>
      </c>
      <c r="W51" s="174" t="str">
        <f t="shared" ref="W51" si="127">+IF(U51&gt;0,IF(OR(U51&gt;$G51),"NO VÁLIDA","VÁLIDA"),"NO VÁLIDA")</f>
        <v>NO VÁLIDA</v>
      </c>
      <c r="X51" s="282"/>
      <c r="Y51" s="173">
        <f t="shared" si="94"/>
        <v>0</v>
      </c>
      <c r="Z51" s="174" t="str">
        <f t="shared" ref="Z51" si="128">+IF(X51&gt;0,IF(OR(X51&gt;$G51),"NO VÁLIDA","VÁLIDA"),"NO VÁLIDA")</f>
        <v>NO VÁLIDA</v>
      </c>
      <c r="AA51" s="282">
        <v>398985</v>
      </c>
      <c r="AB51" s="173">
        <f t="shared" si="96"/>
        <v>76485425</v>
      </c>
      <c r="AC51" s="174" t="str">
        <f t="shared" ref="AC51" si="129">+IF(AA51&gt;0,IF(OR(AA51&gt;$G51),"NO VÁLIDA","VÁLIDA"),"NO VÁLIDA")</f>
        <v>VÁLIDA</v>
      </c>
    </row>
    <row r="52" spans="1:29" ht="30.6" customHeight="1" x14ac:dyDescent="0.2">
      <c r="A52" s="11"/>
      <c r="B52" s="170">
        <v>35</v>
      </c>
      <c r="C52" s="171" t="s">
        <v>98</v>
      </c>
      <c r="D52" s="310" t="s">
        <v>226</v>
      </c>
      <c r="E52" s="171" t="s">
        <v>102</v>
      </c>
      <c r="F52" s="201">
        <v>119322.1</v>
      </c>
      <c r="G52" s="280">
        <v>3357.9999999999991</v>
      </c>
      <c r="H52" s="172">
        <f t="shared" si="83"/>
        <v>400683612</v>
      </c>
      <c r="I52" s="282">
        <v>3358</v>
      </c>
      <c r="J52" s="173">
        <f t="shared" si="84"/>
        <v>400683612</v>
      </c>
      <c r="K52" s="174" t="str">
        <f t="shared" si="85"/>
        <v>VÁLIDA</v>
      </c>
      <c r="L52" s="282"/>
      <c r="M52" s="173">
        <f t="shared" si="86"/>
        <v>0</v>
      </c>
      <c r="N52" s="174" t="str">
        <f t="shared" ref="N52:N62" si="130">+IF(L52&gt;0,IF(OR(L52&gt;$G52,ROUND(L52,0)&gt;$G52),"NO VÁLIDA","VÁLIDA"),"NO VÁLIDA")</f>
        <v>NO VÁLIDA</v>
      </c>
      <c r="O52" s="282"/>
      <c r="P52" s="173">
        <f t="shared" si="88"/>
        <v>0</v>
      </c>
      <c r="Q52" s="174" t="str">
        <f t="shared" ref="Q52:Q62" si="131">+IF(O52&gt;0,IF(OR(O52&gt;$G52,ROUND(O52,0)&gt;$G52),"NO VÁLIDA","VÁLIDA"),"NO VÁLIDA")</f>
        <v>NO VÁLIDA</v>
      </c>
      <c r="R52" s="282">
        <v>3358</v>
      </c>
      <c r="S52" s="323">
        <f t="shared" si="90"/>
        <v>400683612</v>
      </c>
      <c r="T52" s="174" t="str">
        <f t="shared" ref="T52:T62" si="132">+IF(R52&gt;0,IF(OR(R52&gt;$G52,ROUND(R52,0)&gt;$G52),"NO VÁLIDA","VÁLIDA"),"NO VÁLIDA")</f>
        <v>VÁLIDA</v>
      </c>
      <c r="U52" s="282">
        <v>3358</v>
      </c>
      <c r="V52" s="173">
        <f t="shared" si="92"/>
        <v>400683612</v>
      </c>
      <c r="W52" s="174" t="str">
        <f t="shared" ref="W52:W62" si="133">+IF(U52&gt;0,IF(OR(U52&gt;$G52,ROUND(U52,0)&gt;$G52),"NO VÁLIDA","VÁLIDA"),"NO VÁLIDA")</f>
        <v>VÁLIDA</v>
      </c>
      <c r="X52" s="282"/>
      <c r="Y52" s="173">
        <f t="shared" si="94"/>
        <v>0</v>
      </c>
      <c r="Z52" s="174" t="str">
        <f t="shared" ref="Z52:Z62" si="134">+IF(X52&gt;0,IF(OR(X52&gt;$G52,ROUND(X52,0)&gt;$G52),"NO VÁLIDA","VÁLIDA"),"NO VÁLIDA")</f>
        <v>NO VÁLIDA</v>
      </c>
      <c r="AA52" s="282">
        <v>3335</v>
      </c>
      <c r="AB52" s="173">
        <f t="shared" si="96"/>
        <v>397939204</v>
      </c>
      <c r="AC52" s="174" t="str">
        <f t="shared" ref="AC52:AC62" si="135">+IF(AA52&gt;0,IF(OR(AA52&gt;$G52,ROUND(AA52,0)&gt;$G52),"NO VÁLIDA","VÁLIDA"),"NO VÁLIDA")</f>
        <v>VÁLIDA</v>
      </c>
    </row>
    <row r="53" spans="1:29" ht="40.5" customHeight="1" x14ac:dyDescent="0.2">
      <c r="A53" s="11"/>
      <c r="B53" s="170">
        <v>36</v>
      </c>
      <c r="C53" s="171" t="s">
        <v>165</v>
      </c>
      <c r="D53" s="310" t="s">
        <v>227</v>
      </c>
      <c r="E53" s="171" t="s">
        <v>228</v>
      </c>
      <c r="F53" s="201">
        <v>8</v>
      </c>
      <c r="G53" s="280">
        <v>362014</v>
      </c>
      <c r="H53" s="172">
        <f t="shared" si="83"/>
        <v>2896112</v>
      </c>
      <c r="I53" s="282">
        <v>362014</v>
      </c>
      <c r="J53" s="173">
        <f t="shared" si="84"/>
        <v>2896112</v>
      </c>
      <c r="K53" s="174" t="str">
        <f t="shared" si="85"/>
        <v>VÁLIDA</v>
      </c>
      <c r="L53" s="282"/>
      <c r="M53" s="173">
        <f t="shared" si="86"/>
        <v>0</v>
      </c>
      <c r="N53" s="174" t="str">
        <f t="shared" si="130"/>
        <v>NO VÁLIDA</v>
      </c>
      <c r="O53" s="282"/>
      <c r="P53" s="173">
        <f t="shared" si="88"/>
        <v>0</v>
      </c>
      <c r="Q53" s="174" t="str">
        <f t="shared" si="131"/>
        <v>NO VÁLIDA</v>
      </c>
      <c r="R53" s="282">
        <v>362014</v>
      </c>
      <c r="S53" s="173">
        <f t="shared" si="90"/>
        <v>2896112</v>
      </c>
      <c r="T53" s="174" t="str">
        <f t="shared" si="132"/>
        <v>VÁLIDA</v>
      </c>
      <c r="U53" s="282">
        <v>362014</v>
      </c>
      <c r="V53" s="173">
        <f t="shared" si="92"/>
        <v>2896112</v>
      </c>
      <c r="W53" s="174" t="str">
        <f t="shared" si="133"/>
        <v>VÁLIDA</v>
      </c>
      <c r="X53" s="282"/>
      <c r="Y53" s="173">
        <f t="shared" si="94"/>
        <v>0</v>
      </c>
      <c r="Z53" s="174" t="str">
        <f t="shared" si="134"/>
        <v>NO VÁLIDA</v>
      </c>
      <c r="AA53" s="282">
        <v>359552</v>
      </c>
      <c r="AB53" s="173">
        <f t="shared" si="96"/>
        <v>2876416</v>
      </c>
      <c r="AC53" s="174" t="str">
        <f t="shared" si="135"/>
        <v>VÁLIDA</v>
      </c>
    </row>
    <row r="54" spans="1:29" ht="30.6" customHeight="1" x14ac:dyDescent="0.2">
      <c r="A54" s="11"/>
      <c r="B54" s="170">
        <v>37</v>
      </c>
      <c r="C54" s="171" t="s">
        <v>166</v>
      </c>
      <c r="D54" s="310" t="s">
        <v>229</v>
      </c>
      <c r="E54" s="171" t="s">
        <v>114</v>
      </c>
      <c r="F54" s="201">
        <v>32</v>
      </c>
      <c r="G54" s="280">
        <v>706414</v>
      </c>
      <c r="H54" s="172">
        <f t="shared" si="83"/>
        <v>22605248</v>
      </c>
      <c r="I54" s="282">
        <v>706414</v>
      </c>
      <c r="J54" s="173">
        <f t="shared" si="84"/>
        <v>22605248</v>
      </c>
      <c r="K54" s="174" t="str">
        <f t="shared" si="85"/>
        <v>VÁLIDA</v>
      </c>
      <c r="L54" s="282"/>
      <c r="M54" s="173">
        <f t="shared" si="86"/>
        <v>0</v>
      </c>
      <c r="N54" s="174" t="str">
        <f t="shared" si="130"/>
        <v>NO VÁLIDA</v>
      </c>
      <c r="O54" s="282"/>
      <c r="P54" s="173">
        <f t="shared" si="88"/>
        <v>0</v>
      </c>
      <c r="Q54" s="174" t="str">
        <f t="shared" si="131"/>
        <v>NO VÁLIDA</v>
      </c>
      <c r="R54" s="282">
        <v>706414</v>
      </c>
      <c r="S54" s="173">
        <f t="shared" si="90"/>
        <v>22605248</v>
      </c>
      <c r="T54" s="174" t="str">
        <f t="shared" si="132"/>
        <v>VÁLIDA</v>
      </c>
      <c r="U54" s="282">
        <v>706414</v>
      </c>
      <c r="V54" s="173">
        <f t="shared" si="92"/>
        <v>22605248</v>
      </c>
      <c r="W54" s="174" t="str">
        <f t="shared" si="133"/>
        <v>VÁLIDA</v>
      </c>
      <c r="X54" s="282"/>
      <c r="Y54" s="173">
        <f t="shared" si="94"/>
        <v>0</v>
      </c>
      <c r="Z54" s="174" t="str">
        <f t="shared" si="134"/>
        <v>NO VÁLIDA</v>
      </c>
      <c r="AA54" s="282">
        <v>701610</v>
      </c>
      <c r="AB54" s="173">
        <f t="shared" si="96"/>
        <v>22451520</v>
      </c>
      <c r="AC54" s="174" t="str">
        <f t="shared" si="135"/>
        <v>VÁLIDA</v>
      </c>
    </row>
    <row r="55" spans="1:29" ht="30.6" customHeight="1" x14ac:dyDescent="0.2">
      <c r="A55" s="11"/>
      <c r="B55" s="170">
        <v>38</v>
      </c>
      <c r="C55" s="171" t="s">
        <v>167</v>
      </c>
      <c r="D55" s="310" t="s">
        <v>230</v>
      </c>
      <c r="E55" s="171" t="s">
        <v>194</v>
      </c>
      <c r="F55" s="201">
        <v>913</v>
      </c>
      <c r="G55" s="280">
        <v>1096842</v>
      </c>
      <c r="H55" s="172">
        <f t="shared" si="83"/>
        <v>1001416746</v>
      </c>
      <c r="I55" s="282">
        <v>1096842</v>
      </c>
      <c r="J55" s="173">
        <f t="shared" si="84"/>
        <v>1001416746</v>
      </c>
      <c r="K55" s="174" t="str">
        <f t="shared" si="85"/>
        <v>VÁLIDA</v>
      </c>
      <c r="L55" s="282"/>
      <c r="M55" s="173">
        <f t="shared" si="86"/>
        <v>0</v>
      </c>
      <c r="N55" s="174" t="str">
        <f t="shared" si="130"/>
        <v>NO VÁLIDA</v>
      </c>
      <c r="O55" s="282"/>
      <c r="P55" s="173">
        <f t="shared" si="88"/>
        <v>0</v>
      </c>
      <c r="Q55" s="174" t="str">
        <f t="shared" si="131"/>
        <v>NO VÁLIDA</v>
      </c>
      <c r="R55" s="282">
        <v>1096842</v>
      </c>
      <c r="S55" s="173">
        <f t="shared" si="90"/>
        <v>1001416746</v>
      </c>
      <c r="T55" s="174" t="str">
        <f t="shared" si="132"/>
        <v>VÁLIDA</v>
      </c>
      <c r="U55" s="282">
        <v>377464</v>
      </c>
      <c r="V55" s="173">
        <f t="shared" si="92"/>
        <v>344624632</v>
      </c>
      <c r="W55" s="174" t="str">
        <f t="shared" si="133"/>
        <v>VÁLIDA</v>
      </c>
      <c r="X55" s="282"/>
      <c r="Y55" s="173">
        <f t="shared" si="94"/>
        <v>0</v>
      </c>
      <c r="Z55" s="174" t="str">
        <f t="shared" si="134"/>
        <v>NO VÁLIDA</v>
      </c>
      <c r="AA55" s="282">
        <v>1089383</v>
      </c>
      <c r="AB55" s="173">
        <f t="shared" si="96"/>
        <v>994606679</v>
      </c>
      <c r="AC55" s="174" t="str">
        <f t="shared" si="135"/>
        <v>VÁLIDA</v>
      </c>
    </row>
    <row r="56" spans="1:29" ht="30.6" customHeight="1" x14ac:dyDescent="0.2">
      <c r="A56" s="11"/>
      <c r="B56" s="170">
        <v>39</v>
      </c>
      <c r="C56" s="171" t="s">
        <v>168</v>
      </c>
      <c r="D56" s="310" t="s">
        <v>231</v>
      </c>
      <c r="E56" s="171" t="s">
        <v>194</v>
      </c>
      <c r="F56" s="201">
        <v>50</v>
      </c>
      <c r="G56" s="280">
        <v>1355422</v>
      </c>
      <c r="H56" s="172">
        <f t="shared" si="83"/>
        <v>67771100</v>
      </c>
      <c r="I56" s="282">
        <v>1355422</v>
      </c>
      <c r="J56" s="173">
        <f t="shared" si="84"/>
        <v>67771100</v>
      </c>
      <c r="K56" s="174" t="str">
        <f t="shared" si="85"/>
        <v>VÁLIDA</v>
      </c>
      <c r="L56" s="282"/>
      <c r="M56" s="173">
        <f t="shared" si="86"/>
        <v>0</v>
      </c>
      <c r="N56" s="174" t="str">
        <f t="shared" si="130"/>
        <v>NO VÁLIDA</v>
      </c>
      <c r="O56" s="282"/>
      <c r="P56" s="173">
        <f t="shared" si="88"/>
        <v>0</v>
      </c>
      <c r="Q56" s="174" t="str">
        <f t="shared" si="131"/>
        <v>NO VÁLIDA</v>
      </c>
      <c r="R56" s="282">
        <v>1355422</v>
      </c>
      <c r="S56" s="173">
        <f t="shared" si="90"/>
        <v>67771100</v>
      </c>
      <c r="T56" s="174" t="str">
        <f t="shared" si="132"/>
        <v>VÁLIDA</v>
      </c>
      <c r="U56" s="282">
        <v>818493</v>
      </c>
      <c r="V56" s="173">
        <f t="shared" si="92"/>
        <v>40924650</v>
      </c>
      <c r="W56" s="174" t="str">
        <f t="shared" si="133"/>
        <v>VÁLIDA</v>
      </c>
      <c r="X56" s="282"/>
      <c r="Y56" s="173">
        <f t="shared" si="94"/>
        <v>0</v>
      </c>
      <c r="Z56" s="174" t="str">
        <f t="shared" si="134"/>
        <v>NO VÁLIDA</v>
      </c>
      <c r="AA56" s="282">
        <v>1346205</v>
      </c>
      <c r="AB56" s="173">
        <f t="shared" si="96"/>
        <v>67310250</v>
      </c>
      <c r="AC56" s="174" t="str">
        <f t="shared" si="135"/>
        <v>VÁLIDA</v>
      </c>
    </row>
    <row r="57" spans="1:29" ht="40.5" customHeight="1" x14ac:dyDescent="0.2">
      <c r="A57" s="11"/>
      <c r="B57" s="170">
        <v>40</v>
      </c>
      <c r="C57" s="171" t="s">
        <v>169</v>
      </c>
      <c r="D57" s="310" t="s">
        <v>232</v>
      </c>
      <c r="E57" s="171" t="s">
        <v>100</v>
      </c>
      <c r="F57" s="201">
        <v>137.80000000000001</v>
      </c>
      <c r="G57" s="280">
        <v>417754.00000004971</v>
      </c>
      <c r="H57" s="172">
        <f t="shared" si="83"/>
        <v>57566501</v>
      </c>
      <c r="I57" s="282">
        <v>417754</v>
      </c>
      <c r="J57" s="173">
        <f t="shared" si="84"/>
        <v>57566501</v>
      </c>
      <c r="K57" s="174" t="str">
        <f t="shared" si="85"/>
        <v>VÁLIDA</v>
      </c>
      <c r="L57" s="282"/>
      <c r="M57" s="173">
        <f t="shared" si="86"/>
        <v>0</v>
      </c>
      <c r="N57" s="174" t="str">
        <f t="shared" si="130"/>
        <v>NO VÁLIDA</v>
      </c>
      <c r="O57" s="282"/>
      <c r="P57" s="173">
        <f t="shared" si="88"/>
        <v>0</v>
      </c>
      <c r="Q57" s="174" t="str">
        <f t="shared" si="131"/>
        <v>NO VÁLIDA</v>
      </c>
      <c r="R57" s="280">
        <v>417754.00000004971</v>
      </c>
      <c r="S57" s="323">
        <f t="shared" si="90"/>
        <v>57566501</v>
      </c>
      <c r="T57" s="174" t="str">
        <f t="shared" si="132"/>
        <v>VÁLIDA</v>
      </c>
      <c r="U57" s="282">
        <v>417754</v>
      </c>
      <c r="V57" s="173">
        <f t="shared" si="92"/>
        <v>57566501</v>
      </c>
      <c r="W57" s="174" t="str">
        <f t="shared" si="133"/>
        <v>VÁLIDA</v>
      </c>
      <c r="X57" s="282"/>
      <c r="Y57" s="173">
        <f t="shared" si="94"/>
        <v>0</v>
      </c>
      <c r="Z57" s="174" t="str">
        <f t="shared" si="134"/>
        <v>NO VÁLIDA</v>
      </c>
      <c r="AA57" s="282">
        <v>414913</v>
      </c>
      <c r="AB57" s="173">
        <f t="shared" si="96"/>
        <v>57175011</v>
      </c>
      <c r="AC57" s="174" t="str">
        <f t="shared" si="135"/>
        <v>VÁLIDA</v>
      </c>
    </row>
    <row r="58" spans="1:29" ht="40.5" customHeight="1" x14ac:dyDescent="0.2">
      <c r="A58" s="11"/>
      <c r="B58" s="170">
        <v>41</v>
      </c>
      <c r="C58" s="171" t="s">
        <v>110</v>
      </c>
      <c r="D58" s="310" t="s">
        <v>233</v>
      </c>
      <c r="E58" s="171" t="s">
        <v>194</v>
      </c>
      <c r="F58" s="201">
        <v>4719.5</v>
      </c>
      <c r="G58" s="280">
        <v>76730.243622860842</v>
      </c>
      <c r="H58" s="172">
        <f t="shared" si="83"/>
        <v>362128385</v>
      </c>
      <c r="I58" s="280">
        <v>76730.243622860842</v>
      </c>
      <c r="J58" s="173">
        <f t="shared" si="84"/>
        <v>362128385</v>
      </c>
      <c r="K58" s="174" t="str">
        <f t="shared" si="85"/>
        <v>VÁLIDA</v>
      </c>
      <c r="L58" s="282"/>
      <c r="M58" s="173">
        <f t="shared" si="86"/>
        <v>0</v>
      </c>
      <c r="N58" s="174" t="str">
        <f t="shared" si="130"/>
        <v>NO VÁLIDA</v>
      </c>
      <c r="O58" s="282"/>
      <c r="P58" s="173">
        <f t="shared" si="88"/>
        <v>0</v>
      </c>
      <c r="Q58" s="174" t="str">
        <f t="shared" si="131"/>
        <v>NO VÁLIDA</v>
      </c>
      <c r="R58" s="282">
        <v>76730</v>
      </c>
      <c r="S58" s="173">
        <f t="shared" si="90"/>
        <v>362127235</v>
      </c>
      <c r="T58" s="174" t="str">
        <f t="shared" si="132"/>
        <v>VÁLIDA</v>
      </c>
      <c r="U58" s="282">
        <v>76730</v>
      </c>
      <c r="V58" s="173">
        <f t="shared" si="92"/>
        <v>362127235</v>
      </c>
      <c r="W58" s="174" t="str">
        <f t="shared" si="133"/>
        <v>VÁLIDA</v>
      </c>
      <c r="X58" s="282"/>
      <c r="Y58" s="173">
        <f t="shared" si="94"/>
        <v>0</v>
      </c>
      <c r="Z58" s="174" t="str">
        <f t="shared" si="134"/>
        <v>NO VÁLIDA</v>
      </c>
      <c r="AA58" s="282">
        <v>76208</v>
      </c>
      <c r="AB58" s="173">
        <f t="shared" si="96"/>
        <v>359663656</v>
      </c>
      <c r="AC58" s="174" t="str">
        <f t="shared" si="135"/>
        <v>VÁLIDA</v>
      </c>
    </row>
    <row r="59" spans="1:29" ht="40.5" customHeight="1" x14ac:dyDescent="0.2">
      <c r="A59" s="11"/>
      <c r="B59" s="170">
        <v>42</v>
      </c>
      <c r="C59" s="171" t="s">
        <v>170</v>
      </c>
      <c r="D59" s="310" t="s">
        <v>234</v>
      </c>
      <c r="E59" s="171" t="s">
        <v>194</v>
      </c>
      <c r="F59" s="201">
        <v>1545.8</v>
      </c>
      <c r="G59" s="280">
        <v>104508.00016755349</v>
      </c>
      <c r="H59" s="172">
        <f t="shared" si="83"/>
        <v>161548467</v>
      </c>
      <c r="I59" s="280">
        <v>104508.00016755349</v>
      </c>
      <c r="J59" s="173">
        <f t="shared" si="84"/>
        <v>161548467</v>
      </c>
      <c r="K59" s="174" t="str">
        <f t="shared" si="85"/>
        <v>VÁLIDA</v>
      </c>
      <c r="L59" s="282"/>
      <c r="M59" s="173">
        <f t="shared" si="86"/>
        <v>0</v>
      </c>
      <c r="N59" s="174" t="str">
        <f t="shared" si="130"/>
        <v>NO VÁLIDA</v>
      </c>
      <c r="O59" s="282"/>
      <c r="P59" s="173">
        <f t="shared" si="88"/>
        <v>0</v>
      </c>
      <c r="Q59" s="174" t="str">
        <f t="shared" si="131"/>
        <v>NO VÁLIDA</v>
      </c>
      <c r="R59" s="280">
        <v>104508.00016755349</v>
      </c>
      <c r="S59" s="323">
        <f t="shared" si="90"/>
        <v>161548467</v>
      </c>
      <c r="T59" s="174" t="str">
        <f t="shared" si="132"/>
        <v>VÁLIDA</v>
      </c>
      <c r="U59" s="282">
        <v>104508</v>
      </c>
      <c r="V59" s="173">
        <f t="shared" si="92"/>
        <v>161548466</v>
      </c>
      <c r="W59" s="174" t="str">
        <f t="shared" si="133"/>
        <v>VÁLIDA</v>
      </c>
      <c r="X59" s="282"/>
      <c r="Y59" s="173">
        <f t="shared" si="94"/>
        <v>0</v>
      </c>
      <c r="Z59" s="174" t="str">
        <f t="shared" si="134"/>
        <v>NO VÁLIDA</v>
      </c>
      <c r="AA59" s="282">
        <v>103797</v>
      </c>
      <c r="AB59" s="173">
        <f t="shared" si="96"/>
        <v>160449403</v>
      </c>
      <c r="AC59" s="174" t="str">
        <f t="shared" si="135"/>
        <v>VÁLIDA</v>
      </c>
    </row>
    <row r="60" spans="1:29" ht="40.5" customHeight="1" x14ac:dyDescent="0.2">
      <c r="A60" s="11"/>
      <c r="B60" s="170">
        <v>43</v>
      </c>
      <c r="C60" s="171" t="s">
        <v>171</v>
      </c>
      <c r="D60" s="310" t="s">
        <v>235</v>
      </c>
      <c r="E60" s="171" t="s">
        <v>194</v>
      </c>
      <c r="F60" s="201">
        <v>12281.7</v>
      </c>
      <c r="G60" s="280">
        <v>40914</v>
      </c>
      <c r="H60" s="172">
        <f t="shared" si="83"/>
        <v>502493474</v>
      </c>
      <c r="I60" s="282">
        <v>40914</v>
      </c>
      <c r="J60" s="173">
        <f t="shared" si="84"/>
        <v>502493474</v>
      </c>
      <c r="K60" s="174" t="str">
        <f t="shared" si="85"/>
        <v>VÁLIDA</v>
      </c>
      <c r="L60" s="282"/>
      <c r="M60" s="173">
        <f t="shared" si="86"/>
        <v>0</v>
      </c>
      <c r="N60" s="174" t="str">
        <f t="shared" si="130"/>
        <v>NO VÁLIDA</v>
      </c>
      <c r="O60" s="282"/>
      <c r="P60" s="173">
        <f t="shared" si="88"/>
        <v>0</v>
      </c>
      <c r="Q60" s="174" t="str">
        <f t="shared" si="131"/>
        <v>NO VÁLIDA</v>
      </c>
      <c r="R60" s="282">
        <v>40914</v>
      </c>
      <c r="S60" s="173">
        <f t="shared" si="90"/>
        <v>502493474</v>
      </c>
      <c r="T60" s="174" t="str">
        <f t="shared" si="132"/>
        <v>VÁLIDA</v>
      </c>
      <c r="U60" s="282">
        <v>40914</v>
      </c>
      <c r="V60" s="173">
        <f t="shared" si="92"/>
        <v>502493474</v>
      </c>
      <c r="W60" s="174" t="str">
        <f t="shared" si="133"/>
        <v>VÁLIDA</v>
      </c>
      <c r="X60" s="282"/>
      <c r="Y60" s="173">
        <f t="shared" si="94"/>
        <v>0</v>
      </c>
      <c r="Z60" s="174" t="str">
        <f t="shared" si="134"/>
        <v>NO VÁLIDA</v>
      </c>
      <c r="AA60" s="282">
        <v>40636</v>
      </c>
      <c r="AB60" s="173">
        <f t="shared" si="96"/>
        <v>499079161</v>
      </c>
      <c r="AC60" s="174" t="str">
        <f t="shared" si="135"/>
        <v>VÁLIDA</v>
      </c>
    </row>
    <row r="61" spans="1:29" ht="50.45" customHeight="1" x14ac:dyDescent="0.2">
      <c r="A61" s="11"/>
      <c r="B61" s="170">
        <v>44</v>
      </c>
      <c r="C61" s="171" t="s">
        <v>172</v>
      </c>
      <c r="D61" s="310" t="s">
        <v>236</v>
      </c>
      <c r="E61" s="171" t="s">
        <v>194</v>
      </c>
      <c r="F61" s="201">
        <v>136</v>
      </c>
      <c r="G61" s="280">
        <v>55911</v>
      </c>
      <c r="H61" s="172">
        <f t="shared" si="83"/>
        <v>7603896</v>
      </c>
      <c r="I61" s="282">
        <v>55911</v>
      </c>
      <c r="J61" s="173">
        <f t="shared" si="84"/>
        <v>7603896</v>
      </c>
      <c r="K61" s="174" t="str">
        <f t="shared" si="85"/>
        <v>VÁLIDA</v>
      </c>
      <c r="L61" s="282"/>
      <c r="M61" s="173">
        <f t="shared" si="86"/>
        <v>0</v>
      </c>
      <c r="N61" s="174" t="str">
        <f t="shared" si="130"/>
        <v>NO VÁLIDA</v>
      </c>
      <c r="O61" s="282"/>
      <c r="P61" s="173">
        <f t="shared" si="88"/>
        <v>0</v>
      </c>
      <c r="Q61" s="174" t="str">
        <f t="shared" si="131"/>
        <v>NO VÁLIDA</v>
      </c>
      <c r="R61" s="282">
        <v>55911</v>
      </c>
      <c r="S61" s="173">
        <f t="shared" si="90"/>
        <v>7603896</v>
      </c>
      <c r="T61" s="174" t="str">
        <f t="shared" si="132"/>
        <v>VÁLIDA</v>
      </c>
      <c r="U61" s="282">
        <v>55911</v>
      </c>
      <c r="V61" s="173">
        <f t="shared" si="92"/>
        <v>7603896</v>
      </c>
      <c r="W61" s="174" t="str">
        <f t="shared" si="133"/>
        <v>VÁLIDA</v>
      </c>
      <c r="X61" s="282"/>
      <c r="Y61" s="173">
        <f t="shared" si="94"/>
        <v>0</v>
      </c>
      <c r="Z61" s="174" t="str">
        <f t="shared" si="134"/>
        <v>NO VÁLIDA</v>
      </c>
      <c r="AA61" s="282">
        <v>55531</v>
      </c>
      <c r="AB61" s="173">
        <f t="shared" si="96"/>
        <v>7552216</v>
      </c>
      <c r="AC61" s="174" t="str">
        <f t="shared" si="135"/>
        <v>VÁLIDA</v>
      </c>
    </row>
    <row r="62" spans="1:29" ht="30.6" customHeight="1" x14ac:dyDescent="0.2">
      <c r="A62" s="11"/>
      <c r="B62" s="170">
        <v>45</v>
      </c>
      <c r="C62" s="171" t="s">
        <v>99</v>
      </c>
      <c r="D62" s="310" t="s">
        <v>237</v>
      </c>
      <c r="E62" s="171" t="s">
        <v>100</v>
      </c>
      <c r="F62" s="201">
        <v>2962.3</v>
      </c>
      <c r="G62" s="280">
        <v>97845</v>
      </c>
      <c r="H62" s="172">
        <f t="shared" si="83"/>
        <v>289846244</v>
      </c>
      <c r="I62" s="282">
        <v>97845</v>
      </c>
      <c r="J62" s="173">
        <f t="shared" si="84"/>
        <v>289846244</v>
      </c>
      <c r="K62" s="174" t="str">
        <f t="shared" si="85"/>
        <v>VÁLIDA</v>
      </c>
      <c r="L62" s="282"/>
      <c r="M62" s="173">
        <f t="shared" si="86"/>
        <v>0</v>
      </c>
      <c r="N62" s="174" t="str">
        <f t="shared" si="130"/>
        <v>NO VÁLIDA</v>
      </c>
      <c r="O62" s="282"/>
      <c r="P62" s="173">
        <f t="shared" si="88"/>
        <v>0</v>
      </c>
      <c r="Q62" s="174" t="str">
        <f t="shared" si="131"/>
        <v>NO VÁLIDA</v>
      </c>
      <c r="R62" s="282">
        <v>97845</v>
      </c>
      <c r="S62" s="323">
        <f t="shared" si="90"/>
        <v>289846244</v>
      </c>
      <c r="T62" s="174" t="str">
        <f t="shared" si="132"/>
        <v>VÁLIDA</v>
      </c>
      <c r="U62" s="282">
        <v>97845</v>
      </c>
      <c r="V62" s="173">
        <f t="shared" si="92"/>
        <v>289846244</v>
      </c>
      <c r="W62" s="174" t="str">
        <f t="shared" si="133"/>
        <v>VÁLIDA</v>
      </c>
      <c r="X62" s="282"/>
      <c r="Y62" s="173">
        <f t="shared" si="94"/>
        <v>0</v>
      </c>
      <c r="Z62" s="174" t="str">
        <f t="shared" si="134"/>
        <v>NO VÁLIDA</v>
      </c>
      <c r="AA62" s="282">
        <v>97180</v>
      </c>
      <c r="AB62" s="173">
        <f t="shared" si="96"/>
        <v>287876314</v>
      </c>
      <c r="AC62" s="174" t="str">
        <f t="shared" si="135"/>
        <v>VÁLIDA</v>
      </c>
    </row>
    <row r="63" spans="1:29" ht="30.6" customHeight="1" x14ac:dyDescent="0.2">
      <c r="A63" s="11"/>
      <c r="B63" s="170">
        <v>46</v>
      </c>
      <c r="C63" s="171" t="s">
        <v>173</v>
      </c>
      <c r="D63" s="310" t="s">
        <v>238</v>
      </c>
      <c r="E63" s="171" t="s">
        <v>100</v>
      </c>
      <c r="F63" s="201">
        <v>588.79999999999995</v>
      </c>
      <c r="G63" s="280">
        <v>73894.999855114904</v>
      </c>
      <c r="H63" s="172">
        <f t="shared" si="83"/>
        <v>43509376</v>
      </c>
      <c r="I63" s="280">
        <v>73894.999855114904</v>
      </c>
      <c r="J63" s="173">
        <f t="shared" si="84"/>
        <v>43509376</v>
      </c>
      <c r="K63" s="174" t="str">
        <f>+IF(I63&gt;0,IF(OR(I63&gt;$G63),"NO VÁLIDA","VÁLIDA"),"NO VÁLIDA")</f>
        <v>VÁLIDA</v>
      </c>
      <c r="L63" s="282"/>
      <c r="M63" s="173">
        <f t="shared" si="86"/>
        <v>0</v>
      </c>
      <c r="N63" s="174" t="str">
        <f t="shared" ref="N63" si="136">+IF(L63&gt;0,IF(OR(L63&gt;$G63),"NO VÁLIDA","VÁLIDA"),"NO VÁLIDA")</f>
        <v>NO VÁLIDA</v>
      </c>
      <c r="O63" s="282"/>
      <c r="P63" s="173">
        <f t="shared" si="88"/>
        <v>0</v>
      </c>
      <c r="Q63" s="174" t="str">
        <f t="shared" ref="Q63" si="137">+IF(O63&gt;0,IF(OR(O63&gt;$G63),"NO VÁLIDA","VÁLIDA"),"NO VÁLIDA")</f>
        <v>NO VÁLIDA</v>
      </c>
      <c r="R63" s="282">
        <v>73894</v>
      </c>
      <c r="S63" s="323">
        <f t="shared" si="90"/>
        <v>43508787</v>
      </c>
      <c r="T63" s="174" t="str">
        <f t="shared" ref="T63" si="138">+IF(R63&gt;0,IF(OR(R63&gt;$G63),"NO VÁLIDA","VÁLIDA"),"NO VÁLIDA")</f>
        <v>VÁLIDA</v>
      </c>
      <c r="U63" s="280">
        <v>73894.999855114904</v>
      </c>
      <c r="V63" s="173">
        <f t="shared" si="92"/>
        <v>43509376</v>
      </c>
      <c r="W63" s="174" t="str">
        <f t="shared" ref="W63" si="139">+IF(U63&gt;0,IF(OR(U63&gt;$G63),"NO VÁLIDA","VÁLIDA"),"NO VÁLIDA")</f>
        <v>VÁLIDA</v>
      </c>
      <c r="X63" s="282"/>
      <c r="Y63" s="173">
        <f t="shared" si="94"/>
        <v>0</v>
      </c>
      <c r="Z63" s="174" t="str">
        <f t="shared" ref="Z63" si="140">+IF(X63&gt;0,IF(OR(X63&gt;$G63),"NO VÁLIDA","VÁLIDA"),"NO VÁLIDA")</f>
        <v>NO VÁLIDA</v>
      </c>
      <c r="AA63" s="282">
        <v>73393</v>
      </c>
      <c r="AB63" s="173">
        <f t="shared" si="96"/>
        <v>43213798</v>
      </c>
      <c r="AC63" s="174" t="str">
        <f t="shared" ref="AC63" si="141">+IF(AA63&gt;0,IF(OR(AA63&gt;$G63),"NO VÁLIDA","VÁLIDA"),"NO VÁLIDA")</f>
        <v>VÁLIDA</v>
      </c>
    </row>
    <row r="64" spans="1:29" ht="40.5" customHeight="1" thickBot="1" x14ac:dyDescent="0.25">
      <c r="A64" s="11"/>
      <c r="B64" s="170">
        <v>47</v>
      </c>
      <c r="C64" s="171" t="s">
        <v>111</v>
      </c>
      <c r="D64" s="310" t="s">
        <v>239</v>
      </c>
      <c r="E64" s="171" t="s">
        <v>100</v>
      </c>
      <c r="F64" s="201">
        <v>1710</v>
      </c>
      <c r="G64" s="280">
        <v>148032.99999999997</v>
      </c>
      <c r="H64" s="172">
        <f t="shared" si="83"/>
        <v>253136430</v>
      </c>
      <c r="I64" s="284">
        <v>148033</v>
      </c>
      <c r="J64" s="252">
        <f t="shared" si="84"/>
        <v>253136430</v>
      </c>
      <c r="K64" s="253" t="str">
        <f t="shared" si="85"/>
        <v>VÁLIDA</v>
      </c>
      <c r="L64" s="284"/>
      <c r="M64" s="252">
        <f t="shared" si="86"/>
        <v>0</v>
      </c>
      <c r="N64" s="253" t="str">
        <f t="shared" ref="N64" si="142">+IF(L64&gt;0,IF(OR(L64&gt;$G64,ROUND(L64,0)&gt;$G64),"NO VÁLIDA","VÁLIDA"),"NO VÁLIDA")</f>
        <v>NO VÁLIDA</v>
      </c>
      <c r="O64" s="284"/>
      <c r="P64" s="252">
        <f t="shared" si="88"/>
        <v>0</v>
      </c>
      <c r="Q64" s="253" t="str">
        <f t="shared" ref="Q64" si="143">+IF(O64&gt;0,IF(OR(O64&gt;$G64,ROUND(O64,0)&gt;$G64),"NO VÁLIDA","VÁLIDA"),"NO VÁLIDA")</f>
        <v>NO VÁLIDA</v>
      </c>
      <c r="R64" s="284">
        <v>148033</v>
      </c>
      <c r="S64" s="252">
        <f t="shared" si="90"/>
        <v>253136430</v>
      </c>
      <c r="T64" s="253" t="str">
        <f t="shared" ref="T64" si="144">+IF(R64&gt;0,IF(OR(R64&gt;$G64,ROUND(R64,0)&gt;$G64),"NO VÁLIDA","VÁLIDA"),"NO VÁLIDA")</f>
        <v>VÁLIDA</v>
      </c>
      <c r="U64" s="284">
        <v>148033</v>
      </c>
      <c r="V64" s="252">
        <f t="shared" si="92"/>
        <v>253136430</v>
      </c>
      <c r="W64" s="253" t="str">
        <f t="shared" ref="W64" si="145">+IF(U64&gt;0,IF(OR(U64&gt;$G64,ROUND(U64,0)&gt;$G64),"NO VÁLIDA","VÁLIDA"),"NO VÁLIDA")</f>
        <v>VÁLIDA</v>
      </c>
      <c r="X64" s="284"/>
      <c r="Y64" s="252">
        <f t="shared" si="94"/>
        <v>0</v>
      </c>
      <c r="Z64" s="253" t="str">
        <f t="shared" ref="Z64" si="146">+IF(X64&gt;0,IF(OR(X64&gt;$G64,ROUND(X64,0)&gt;$G64),"NO VÁLIDA","VÁLIDA"),"NO VÁLIDA")</f>
        <v>NO VÁLIDA</v>
      </c>
      <c r="AA64" s="284">
        <v>147026</v>
      </c>
      <c r="AB64" s="252">
        <f t="shared" si="96"/>
        <v>251414460</v>
      </c>
      <c r="AC64" s="253" t="str">
        <f t="shared" ref="AC64" si="147">+IF(AA64&gt;0,IF(OR(AA64&gt;$G64,ROUND(AA64,0)&gt;$G64),"NO VÁLIDA","VÁLIDA"),"NO VÁLIDA")</f>
        <v>VÁLIDA</v>
      </c>
    </row>
    <row r="65" spans="1:29" ht="22.5" customHeight="1" x14ac:dyDescent="0.2">
      <c r="A65" s="11"/>
      <c r="B65" s="168" t="s">
        <v>134</v>
      </c>
      <c r="C65" s="169"/>
      <c r="D65" s="169"/>
      <c r="E65" s="169"/>
      <c r="F65" s="202"/>
      <c r="G65" s="281"/>
      <c r="H65" s="196">
        <f>SUM(H66:H78)</f>
        <v>350613753</v>
      </c>
      <c r="I65" s="283"/>
      <c r="J65" s="198">
        <f>SUM(J66:J78)</f>
        <v>350613753</v>
      </c>
      <c r="K65" s="199"/>
      <c r="L65" s="283"/>
      <c r="M65" s="198">
        <f t="shared" ref="M65" si="148">SUM(M66:M78)</f>
        <v>0</v>
      </c>
      <c r="N65" s="199"/>
      <c r="O65" s="283"/>
      <c r="P65" s="198">
        <f t="shared" ref="P65" si="149">SUM(P66:P78)</f>
        <v>0</v>
      </c>
      <c r="Q65" s="199"/>
      <c r="R65" s="283"/>
      <c r="S65" s="198">
        <f t="shared" ref="S65" si="150">SUM(S66:S78)</f>
        <v>350613753</v>
      </c>
      <c r="T65" s="199"/>
      <c r="U65" s="283"/>
      <c r="V65" s="198">
        <f t="shared" ref="V65" si="151">SUM(V66:V78)</f>
        <v>350613753</v>
      </c>
      <c r="W65" s="199"/>
      <c r="X65" s="283"/>
      <c r="Y65" s="198">
        <f t="shared" ref="Y65" si="152">SUM(Y66:Y78)</f>
        <v>0</v>
      </c>
      <c r="Z65" s="199"/>
      <c r="AA65" s="283"/>
      <c r="AB65" s="198">
        <f t="shared" ref="AB65" si="153">SUM(AB66:AB78)</f>
        <v>348223375</v>
      </c>
      <c r="AC65" s="199"/>
    </row>
    <row r="66" spans="1:29" ht="30.6" customHeight="1" x14ac:dyDescent="0.2">
      <c r="A66" s="11"/>
      <c r="B66" s="170">
        <v>48</v>
      </c>
      <c r="C66" s="171" t="s">
        <v>112</v>
      </c>
      <c r="D66" s="310" t="s">
        <v>240</v>
      </c>
      <c r="E66" s="171" t="s">
        <v>194</v>
      </c>
      <c r="F66" s="201">
        <v>32918.300000000003</v>
      </c>
      <c r="G66" s="280">
        <v>1283</v>
      </c>
      <c r="H66" s="172">
        <f t="shared" ref="H66:H78" si="154">ROUND(G66*F66,0)</f>
        <v>42234179</v>
      </c>
      <c r="I66" s="282">
        <v>1283</v>
      </c>
      <c r="J66" s="173">
        <f t="shared" ref="J66:J78" si="155">ROUND($F66*I66,0)</f>
        <v>42234179</v>
      </c>
      <c r="K66" s="174" t="str">
        <f t="shared" ref="K66:K78" si="156">+IF(I66&gt;0,IF(OR(I66&gt;$G66,ROUND(I66,0)&gt;$G66),"NO VÁLIDA","VÁLIDA"),"NO VÁLIDA")</f>
        <v>VÁLIDA</v>
      </c>
      <c r="L66" s="282"/>
      <c r="M66" s="173">
        <f t="shared" ref="M66:M78" si="157">ROUND($F66*L66,0)</f>
        <v>0</v>
      </c>
      <c r="N66" s="174" t="str">
        <f t="shared" ref="N66:N78" si="158">+IF(L66&gt;0,IF(OR(L66&gt;$G66,ROUND(L66,0)&gt;$G66),"NO VÁLIDA","VÁLIDA"),"NO VÁLIDA")</f>
        <v>NO VÁLIDA</v>
      </c>
      <c r="O66" s="282"/>
      <c r="P66" s="173">
        <f t="shared" ref="P66:P78" si="159">ROUND($F66*O66,0)</f>
        <v>0</v>
      </c>
      <c r="Q66" s="174" t="str">
        <f t="shared" ref="Q66:Q78" si="160">+IF(O66&gt;0,IF(OR(O66&gt;$G66,ROUND(O66,0)&gt;$G66),"NO VÁLIDA","VÁLIDA"),"NO VÁLIDA")</f>
        <v>NO VÁLIDA</v>
      </c>
      <c r="R66" s="282">
        <v>1283</v>
      </c>
      <c r="S66" s="173">
        <f t="shared" ref="S66:S78" si="161">ROUND($F66*R66,0)</f>
        <v>42234179</v>
      </c>
      <c r="T66" s="174" t="str">
        <f t="shared" ref="T66:T78" si="162">+IF(R66&gt;0,IF(OR(R66&gt;$G66,ROUND(R66,0)&gt;$G66),"NO VÁLIDA","VÁLIDA"),"NO VÁLIDA")</f>
        <v>VÁLIDA</v>
      </c>
      <c r="U66" s="282">
        <v>1283</v>
      </c>
      <c r="V66" s="173">
        <f t="shared" ref="V66:V78" si="163">ROUND($F66*U66,0)</f>
        <v>42234179</v>
      </c>
      <c r="W66" s="174" t="str">
        <f t="shared" ref="W66:W78" si="164">+IF(U66&gt;0,IF(OR(U66&gt;$G66,ROUND(U66,0)&gt;$G66),"NO VÁLIDA","VÁLIDA"),"NO VÁLIDA")</f>
        <v>VÁLIDA</v>
      </c>
      <c r="X66" s="282"/>
      <c r="Y66" s="173">
        <f t="shared" ref="Y66:Y78" si="165">ROUND($F66*X66,0)</f>
        <v>0</v>
      </c>
      <c r="Z66" s="174" t="str">
        <f t="shared" ref="Z66:Z78" si="166">+IF(X66&gt;0,IF(OR(X66&gt;$G66,ROUND(X66,0)&gt;$G66),"NO VÁLIDA","VÁLIDA"),"NO VÁLIDA")</f>
        <v>NO VÁLIDA</v>
      </c>
      <c r="AA66" s="282">
        <v>1274</v>
      </c>
      <c r="AB66" s="173">
        <f t="shared" ref="AB66:AB78" si="167">ROUND($F66*AA66,0)</f>
        <v>41937914</v>
      </c>
      <c r="AC66" s="174" t="str">
        <f t="shared" ref="AC66:AC78" si="168">+IF(AA66&gt;0,IF(OR(AA66&gt;$G66,ROUND(AA66,0)&gt;$G66),"NO VÁLIDA","VÁLIDA"),"NO VÁLIDA")</f>
        <v>VÁLIDA</v>
      </c>
    </row>
    <row r="67" spans="1:29" ht="50.45" customHeight="1" x14ac:dyDescent="0.2">
      <c r="A67" s="11"/>
      <c r="B67" s="170">
        <v>49</v>
      </c>
      <c r="C67" s="171" t="s">
        <v>174</v>
      </c>
      <c r="D67" s="310" t="s">
        <v>241</v>
      </c>
      <c r="E67" s="171" t="s">
        <v>228</v>
      </c>
      <c r="F67" s="201">
        <v>3116</v>
      </c>
      <c r="G67" s="280">
        <v>17213</v>
      </c>
      <c r="H67" s="172">
        <f t="shared" si="154"/>
        <v>53635708</v>
      </c>
      <c r="I67" s="282">
        <v>17213</v>
      </c>
      <c r="J67" s="173">
        <f t="shared" si="155"/>
        <v>53635708</v>
      </c>
      <c r="K67" s="174" t="str">
        <f t="shared" si="156"/>
        <v>VÁLIDA</v>
      </c>
      <c r="L67" s="282"/>
      <c r="M67" s="173">
        <f t="shared" si="157"/>
        <v>0</v>
      </c>
      <c r="N67" s="174" t="str">
        <f t="shared" si="158"/>
        <v>NO VÁLIDA</v>
      </c>
      <c r="O67" s="282"/>
      <c r="P67" s="173">
        <f t="shared" si="159"/>
        <v>0</v>
      </c>
      <c r="Q67" s="174" t="str">
        <f t="shared" si="160"/>
        <v>NO VÁLIDA</v>
      </c>
      <c r="R67" s="282">
        <v>17213</v>
      </c>
      <c r="S67" s="173">
        <f t="shared" si="161"/>
        <v>53635708</v>
      </c>
      <c r="T67" s="174" t="str">
        <f t="shared" si="162"/>
        <v>VÁLIDA</v>
      </c>
      <c r="U67" s="282">
        <v>17213</v>
      </c>
      <c r="V67" s="173">
        <f t="shared" si="163"/>
        <v>53635708</v>
      </c>
      <c r="W67" s="174" t="str">
        <f t="shared" si="164"/>
        <v>VÁLIDA</v>
      </c>
      <c r="X67" s="282"/>
      <c r="Y67" s="173">
        <f t="shared" si="165"/>
        <v>0</v>
      </c>
      <c r="Z67" s="174" t="str">
        <f t="shared" si="166"/>
        <v>NO VÁLIDA</v>
      </c>
      <c r="AA67" s="282">
        <v>17096</v>
      </c>
      <c r="AB67" s="173">
        <f t="shared" si="167"/>
        <v>53271136</v>
      </c>
      <c r="AC67" s="174" t="str">
        <f t="shared" si="168"/>
        <v>VÁLIDA</v>
      </c>
    </row>
    <row r="68" spans="1:29" ht="50.45" customHeight="1" x14ac:dyDescent="0.2">
      <c r="A68" s="11"/>
      <c r="B68" s="170">
        <v>50</v>
      </c>
      <c r="C68" s="171" t="s">
        <v>175</v>
      </c>
      <c r="D68" s="310" t="s">
        <v>242</v>
      </c>
      <c r="E68" s="171" t="s">
        <v>228</v>
      </c>
      <c r="F68" s="201">
        <v>6232</v>
      </c>
      <c r="G68" s="280">
        <v>6828</v>
      </c>
      <c r="H68" s="172">
        <f t="shared" si="154"/>
        <v>42552096</v>
      </c>
      <c r="I68" s="282">
        <v>6828</v>
      </c>
      <c r="J68" s="173">
        <f t="shared" si="155"/>
        <v>42552096</v>
      </c>
      <c r="K68" s="174" t="str">
        <f t="shared" si="156"/>
        <v>VÁLIDA</v>
      </c>
      <c r="L68" s="282"/>
      <c r="M68" s="173">
        <f t="shared" si="157"/>
        <v>0</v>
      </c>
      <c r="N68" s="174" t="str">
        <f t="shared" si="158"/>
        <v>NO VÁLIDA</v>
      </c>
      <c r="O68" s="282"/>
      <c r="P68" s="173">
        <f t="shared" si="159"/>
        <v>0</v>
      </c>
      <c r="Q68" s="174" t="str">
        <f t="shared" si="160"/>
        <v>NO VÁLIDA</v>
      </c>
      <c r="R68" s="282">
        <v>6828</v>
      </c>
      <c r="S68" s="173">
        <f t="shared" si="161"/>
        <v>42552096</v>
      </c>
      <c r="T68" s="174" t="str">
        <f t="shared" si="162"/>
        <v>VÁLIDA</v>
      </c>
      <c r="U68" s="282">
        <v>6828</v>
      </c>
      <c r="V68" s="173">
        <f t="shared" si="163"/>
        <v>42552096</v>
      </c>
      <c r="W68" s="174" t="str">
        <f t="shared" si="164"/>
        <v>VÁLIDA</v>
      </c>
      <c r="X68" s="282"/>
      <c r="Y68" s="173">
        <f t="shared" si="165"/>
        <v>0</v>
      </c>
      <c r="Z68" s="174" t="str">
        <f t="shared" si="166"/>
        <v>NO VÁLIDA</v>
      </c>
      <c r="AA68" s="282">
        <v>6782</v>
      </c>
      <c r="AB68" s="173">
        <f t="shared" si="167"/>
        <v>42265424</v>
      </c>
      <c r="AC68" s="174" t="str">
        <f t="shared" si="168"/>
        <v>VÁLIDA</v>
      </c>
    </row>
    <row r="69" spans="1:29" ht="40.5" customHeight="1" x14ac:dyDescent="0.2">
      <c r="A69" s="11"/>
      <c r="B69" s="170">
        <v>51</v>
      </c>
      <c r="C69" s="171" t="s">
        <v>176</v>
      </c>
      <c r="D69" s="310" t="s">
        <v>243</v>
      </c>
      <c r="E69" s="171" t="s">
        <v>228</v>
      </c>
      <c r="F69" s="201">
        <v>80</v>
      </c>
      <c r="G69" s="280">
        <v>311744.00000915321</v>
      </c>
      <c r="H69" s="172">
        <f t="shared" si="154"/>
        <v>24939520</v>
      </c>
      <c r="I69" s="282">
        <v>311744</v>
      </c>
      <c r="J69" s="173">
        <f t="shared" si="155"/>
        <v>24939520</v>
      </c>
      <c r="K69" s="174" t="str">
        <f t="shared" si="156"/>
        <v>VÁLIDA</v>
      </c>
      <c r="L69" s="282"/>
      <c r="M69" s="173">
        <f t="shared" si="157"/>
        <v>0</v>
      </c>
      <c r="N69" s="174" t="str">
        <f t="shared" si="158"/>
        <v>NO VÁLIDA</v>
      </c>
      <c r="O69" s="282"/>
      <c r="P69" s="173">
        <f t="shared" si="159"/>
        <v>0</v>
      </c>
      <c r="Q69" s="174" t="str">
        <f t="shared" si="160"/>
        <v>NO VÁLIDA</v>
      </c>
      <c r="R69" s="282">
        <v>311744</v>
      </c>
      <c r="S69" s="173">
        <f t="shared" si="161"/>
        <v>24939520</v>
      </c>
      <c r="T69" s="174" t="str">
        <f t="shared" si="162"/>
        <v>VÁLIDA</v>
      </c>
      <c r="U69" s="282">
        <v>311744</v>
      </c>
      <c r="V69" s="173">
        <f t="shared" si="163"/>
        <v>24939520</v>
      </c>
      <c r="W69" s="174" t="str">
        <f t="shared" si="164"/>
        <v>VÁLIDA</v>
      </c>
      <c r="X69" s="282"/>
      <c r="Y69" s="173">
        <f t="shared" si="165"/>
        <v>0</v>
      </c>
      <c r="Z69" s="174" t="str">
        <f t="shared" si="166"/>
        <v>NO VÁLIDA</v>
      </c>
      <c r="AA69" s="282">
        <v>309624</v>
      </c>
      <c r="AB69" s="173">
        <f t="shared" si="167"/>
        <v>24769920</v>
      </c>
      <c r="AC69" s="174" t="str">
        <f t="shared" si="168"/>
        <v>VÁLIDA</v>
      </c>
    </row>
    <row r="70" spans="1:29" ht="50.45" customHeight="1" x14ac:dyDescent="0.2">
      <c r="A70" s="11"/>
      <c r="B70" s="170">
        <v>52</v>
      </c>
      <c r="C70" s="171" t="s">
        <v>177</v>
      </c>
      <c r="D70" s="310" t="s">
        <v>244</v>
      </c>
      <c r="E70" s="171" t="s">
        <v>228</v>
      </c>
      <c r="F70" s="201">
        <v>109</v>
      </c>
      <c r="G70" s="280">
        <v>281819</v>
      </c>
      <c r="H70" s="172">
        <f t="shared" si="154"/>
        <v>30718271</v>
      </c>
      <c r="I70" s="282">
        <v>281819</v>
      </c>
      <c r="J70" s="173">
        <f t="shared" si="155"/>
        <v>30718271</v>
      </c>
      <c r="K70" s="174" t="str">
        <f t="shared" si="156"/>
        <v>VÁLIDA</v>
      </c>
      <c r="L70" s="282"/>
      <c r="M70" s="173">
        <f t="shared" si="157"/>
        <v>0</v>
      </c>
      <c r="N70" s="174" t="str">
        <f t="shared" si="158"/>
        <v>NO VÁLIDA</v>
      </c>
      <c r="O70" s="282"/>
      <c r="P70" s="173">
        <f t="shared" si="159"/>
        <v>0</v>
      </c>
      <c r="Q70" s="174" t="str">
        <f t="shared" si="160"/>
        <v>NO VÁLIDA</v>
      </c>
      <c r="R70" s="282">
        <v>281819</v>
      </c>
      <c r="S70" s="173">
        <f t="shared" si="161"/>
        <v>30718271</v>
      </c>
      <c r="T70" s="174" t="str">
        <f t="shared" si="162"/>
        <v>VÁLIDA</v>
      </c>
      <c r="U70" s="282">
        <v>281819</v>
      </c>
      <c r="V70" s="173">
        <f t="shared" si="163"/>
        <v>30718271</v>
      </c>
      <c r="W70" s="174" t="str">
        <f t="shared" si="164"/>
        <v>VÁLIDA</v>
      </c>
      <c r="X70" s="282"/>
      <c r="Y70" s="173">
        <f t="shared" si="165"/>
        <v>0</v>
      </c>
      <c r="Z70" s="174" t="str">
        <f t="shared" si="166"/>
        <v>NO VÁLIDA</v>
      </c>
      <c r="AA70" s="282">
        <v>279903</v>
      </c>
      <c r="AB70" s="173">
        <f t="shared" si="167"/>
        <v>30509427</v>
      </c>
      <c r="AC70" s="174" t="str">
        <f t="shared" si="168"/>
        <v>VÁLIDA</v>
      </c>
    </row>
    <row r="71" spans="1:29" ht="50.45" customHeight="1" x14ac:dyDescent="0.2">
      <c r="A71" s="11"/>
      <c r="B71" s="170">
        <v>53</v>
      </c>
      <c r="C71" s="171" t="s">
        <v>178</v>
      </c>
      <c r="D71" s="310" t="s">
        <v>245</v>
      </c>
      <c r="E71" s="171" t="s">
        <v>228</v>
      </c>
      <c r="F71" s="201">
        <v>8</v>
      </c>
      <c r="G71" s="280">
        <v>287822</v>
      </c>
      <c r="H71" s="172">
        <f t="shared" si="154"/>
        <v>2302576</v>
      </c>
      <c r="I71" s="282">
        <v>287822</v>
      </c>
      <c r="J71" s="173">
        <f t="shared" si="155"/>
        <v>2302576</v>
      </c>
      <c r="K71" s="174" t="str">
        <f t="shared" si="156"/>
        <v>VÁLIDA</v>
      </c>
      <c r="L71" s="282"/>
      <c r="M71" s="173">
        <f t="shared" si="157"/>
        <v>0</v>
      </c>
      <c r="N71" s="174" t="str">
        <f t="shared" si="158"/>
        <v>NO VÁLIDA</v>
      </c>
      <c r="O71" s="282"/>
      <c r="P71" s="173">
        <f t="shared" si="159"/>
        <v>0</v>
      </c>
      <c r="Q71" s="174" t="str">
        <f t="shared" si="160"/>
        <v>NO VÁLIDA</v>
      </c>
      <c r="R71" s="282">
        <v>287822</v>
      </c>
      <c r="S71" s="173">
        <f t="shared" si="161"/>
        <v>2302576</v>
      </c>
      <c r="T71" s="174" t="str">
        <f t="shared" si="162"/>
        <v>VÁLIDA</v>
      </c>
      <c r="U71" s="282">
        <v>287822</v>
      </c>
      <c r="V71" s="173">
        <f t="shared" si="163"/>
        <v>2302576</v>
      </c>
      <c r="W71" s="174" t="str">
        <f t="shared" si="164"/>
        <v>VÁLIDA</v>
      </c>
      <c r="X71" s="282"/>
      <c r="Y71" s="173">
        <f t="shared" si="165"/>
        <v>0</v>
      </c>
      <c r="Z71" s="174" t="str">
        <f t="shared" si="166"/>
        <v>NO VÁLIDA</v>
      </c>
      <c r="AA71" s="282">
        <v>285865</v>
      </c>
      <c r="AB71" s="173">
        <f t="shared" si="167"/>
        <v>2286920</v>
      </c>
      <c r="AC71" s="174" t="str">
        <f t="shared" si="168"/>
        <v>VÁLIDA</v>
      </c>
    </row>
    <row r="72" spans="1:29" ht="50.45" customHeight="1" x14ac:dyDescent="0.2">
      <c r="A72" s="11"/>
      <c r="B72" s="170">
        <v>54</v>
      </c>
      <c r="C72" s="171" t="s">
        <v>179</v>
      </c>
      <c r="D72" s="310" t="s">
        <v>246</v>
      </c>
      <c r="E72" s="171" t="s">
        <v>228</v>
      </c>
      <c r="F72" s="201">
        <v>8</v>
      </c>
      <c r="G72" s="280">
        <v>270259.00000000029</v>
      </c>
      <c r="H72" s="172">
        <f t="shared" si="154"/>
        <v>2162072</v>
      </c>
      <c r="I72" s="282">
        <v>270259</v>
      </c>
      <c r="J72" s="173">
        <f t="shared" si="155"/>
        <v>2162072</v>
      </c>
      <c r="K72" s="174" t="str">
        <f t="shared" si="156"/>
        <v>VÁLIDA</v>
      </c>
      <c r="L72" s="282"/>
      <c r="M72" s="173">
        <f t="shared" si="157"/>
        <v>0</v>
      </c>
      <c r="N72" s="174" t="str">
        <f t="shared" si="158"/>
        <v>NO VÁLIDA</v>
      </c>
      <c r="O72" s="282"/>
      <c r="P72" s="173">
        <f t="shared" si="159"/>
        <v>0</v>
      </c>
      <c r="Q72" s="174" t="str">
        <f t="shared" si="160"/>
        <v>NO VÁLIDA</v>
      </c>
      <c r="R72" s="282">
        <v>270259</v>
      </c>
      <c r="S72" s="173">
        <f t="shared" si="161"/>
        <v>2162072</v>
      </c>
      <c r="T72" s="174" t="str">
        <f t="shared" si="162"/>
        <v>VÁLIDA</v>
      </c>
      <c r="U72" s="282">
        <v>270259</v>
      </c>
      <c r="V72" s="173">
        <f t="shared" si="163"/>
        <v>2162072</v>
      </c>
      <c r="W72" s="174" t="str">
        <f t="shared" si="164"/>
        <v>VÁLIDA</v>
      </c>
      <c r="X72" s="282"/>
      <c r="Y72" s="173">
        <f t="shared" si="165"/>
        <v>0</v>
      </c>
      <c r="Z72" s="174" t="str">
        <f t="shared" si="166"/>
        <v>NO VÁLIDA</v>
      </c>
      <c r="AA72" s="282">
        <v>268421</v>
      </c>
      <c r="AB72" s="173">
        <f t="shared" si="167"/>
        <v>2147368</v>
      </c>
      <c r="AC72" s="174" t="str">
        <f t="shared" si="168"/>
        <v>VÁLIDA</v>
      </c>
    </row>
    <row r="73" spans="1:29" ht="40.5" customHeight="1" x14ac:dyDescent="0.2">
      <c r="A73" s="11"/>
      <c r="B73" s="170">
        <v>55</v>
      </c>
      <c r="C73" s="171" t="s">
        <v>180</v>
      </c>
      <c r="D73" s="310" t="s">
        <v>247</v>
      </c>
      <c r="E73" s="171" t="s">
        <v>228</v>
      </c>
      <c r="F73" s="201">
        <v>8</v>
      </c>
      <c r="G73" s="280">
        <v>394666</v>
      </c>
      <c r="H73" s="172">
        <f t="shared" si="154"/>
        <v>3157328</v>
      </c>
      <c r="I73" s="282">
        <v>394666</v>
      </c>
      <c r="J73" s="173">
        <f t="shared" si="155"/>
        <v>3157328</v>
      </c>
      <c r="K73" s="174" t="str">
        <f t="shared" si="156"/>
        <v>VÁLIDA</v>
      </c>
      <c r="L73" s="282"/>
      <c r="M73" s="173">
        <f t="shared" si="157"/>
        <v>0</v>
      </c>
      <c r="N73" s="174" t="str">
        <f t="shared" si="158"/>
        <v>NO VÁLIDA</v>
      </c>
      <c r="O73" s="282"/>
      <c r="P73" s="173">
        <f t="shared" si="159"/>
        <v>0</v>
      </c>
      <c r="Q73" s="174" t="str">
        <f t="shared" si="160"/>
        <v>NO VÁLIDA</v>
      </c>
      <c r="R73" s="282">
        <v>394666</v>
      </c>
      <c r="S73" s="173">
        <f t="shared" si="161"/>
        <v>3157328</v>
      </c>
      <c r="T73" s="174" t="str">
        <f t="shared" si="162"/>
        <v>VÁLIDA</v>
      </c>
      <c r="U73" s="282">
        <v>394666</v>
      </c>
      <c r="V73" s="173">
        <f t="shared" si="163"/>
        <v>3157328</v>
      </c>
      <c r="W73" s="174" t="str">
        <f t="shared" si="164"/>
        <v>VÁLIDA</v>
      </c>
      <c r="X73" s="282"/>
      <c r="Y73" s="173">
        <f t="shared" si="165"/>
        <v>0</v>
      </c>
      <c r="Z73" s="174" t="str">
        <f t="shared" si="166"/>
        <v>NO VÁLIDA</v>
      </c>
      <c r="AA73" s="282">
        <v>391982</v>
      </c>
      <c r="AB73" s="173">
        <f t="shared" si="167"/>
        <v>3135856</v>
      </c>
      <c r="AC73" s="174" t="str">
        <f t="shared" si="168"/>
        <v>VÁLIDA</v>
      </c>
    </row>
    <row r="74" spans="1:29" ht="30.6" customHeight="1" x14ac:dyDescent="0.2">
      <c r="A74" s="11"/>
      <c r="B74" s="170">
        <v>56</v>
      </c>
      <c r="C74" s="171" t="s">
        <v>181</v>
      </c>
      <c r="D74" s="310" t="s">
        <v>248</v>
      </c>
      <c r="E74" s="171" t="s">
        <v>228</v>
      </c>
      <c r="F74" s="201">
        <v>20</v>
      </c>
      <c r="G74" s="280">
        <v>137358</v>
      </c>
      <c r="H74" s="172">
        <f t="shared" si="154"/>
        <v>2747160</v>
      </c>
      <c r="I74" s="282">
        <v>137358</v>
      </c>
      <c r="J74" s="173">
        <f t="shared" si="155"/>
        <v>2747160</v>
      </c>
      <c r="K74" s="174" t="str">
        <f t="shared" si="156"/>
        <v>VÁLIDA</v>
      </c>
      <c r="L74" s="282"/>
      <c r="M74" s="173">
        <f t="shared" si="157"/>
        <v>0</v>
      </c>
      <c r="N74" s="174" t="str">
        <f t="shared" si="158"/>
        <v>NO VÁLIDA</v>
      </c>
      <c r="O74" s="282"/>
      <c r="P74" s="173">
        <f t="shared" si="159"/>
        <v>0</v>
      </c>
      <c r="Q74" s="174" t="str">
        <f t="shared" si="160"/>
        <v>NO VÁLIDA</v>
      </c>
      <c r="R74" s="282">
        <v>137358</v>
      </c>
      <c r="S74" s="173">
        <f t="shared" si="161"/>
        <v>2747160</v>
      </c>
      <c r="T74" s="174" t="str">
        <f t="shared" si="162"/>
        <v>VÁLIDA</v>
      </c>
      <c r="U74" s="282">
        <v>137358</v>
      </c>
      <c r="V74" s="173">
        <f t="shared" si="163"/>
        <v>2747160</v>
      </c>
      <c r="W74" s="174" t="str">
        <f t="shared" si="164"/>
        <v>VÁLIDA</v>
      </c>
      <c r="X74" s="282"/>
      <c r="Y74" s="173">
        <f t="shared" si="165"/>
        <v>0</v>
      </c>
      <c r="Z74" s="174" t="str">
        <f t="shared" si="166"/>
        <v>NO VÁLIDA</v>
      </c>
      <c r="AA74" s="282">
        <v>136424</v>
      </c>
      <c r="AB74" s="173">
        <f t="shared" si="167"/>
        <v>2728480</v>
      </c>
      <c r="AC74" s="174" t="str">
        <f t="shared" si="168"/>
        <v>VÁLIDA</v>
      </c>
    </row>
    <row r="75" spans="1:29" ht="30.6" customHeight="1" x14ac:dyDescent="0.2">
      <c r="A75" s="11"/>
      <c r="B75" s="170">
        <v>57</v>
      </c>
      <c r="C75" s="171" t="s">
        <v>182</v>
      </c>
      <c r="D75" s="310" t="s">
        <v>249</v>
      </c>
      <c r="E75" s="171" t="s">
        <v>194</v>
      </c>
      <c r="F75" s="201">
        <v>847.9</v>
      </c>
      <c r="G75" s="280">
        <v>141886</v>
      </c>
      <c r="H75" s="172">
        <f t="shared" si="154"/>
        <v>120305139</v>
      </c>
      <c r="I75" s="282">
        <v>141886</v>
      </c>
      <c r="J75" s="173">
        <f t="shared" si="155"/>
        <v>120305139</v>
      </c>
      <c r="K75" s="174" t="str">
        <f t="shared" si="156"/>
        <v>VÁLIDA</v>
      </c>
      <c r="L75" s="282"/>
      <c r="M75" s="173">
        <f t="shared" si="157"/>
        <v>0</v>
      </c>
      <c r="N75" s="174" t="str">
        <f t="shared" si="158"/>
        <v>NO VÁLIDA</v>
      </c>
      <c r="O75" s="282"/>
      <c r="P75" s="173">
        <f t="shared" si="159"/>
        <v>0</v>
      </c>
      <c r="Q75" s="174" t="str">
        <f t="shared" si="160"/>
        <v>NO VÁLIDA</v>
      </c>
      <c r="R75" s="282">
        <v>141886</v>
      </c>
      <c r="S75" s="173">
        <f t="shared" si="161"/>
        <v>120305139</v>
      </c>
      <c r="T75" s="174" t="str">
        <f t="shared" si="162"/>
        <v>VÁLIDA</v>
      </c>
      <c r="U75" s="282">
        <v>141886</v>
      </c>
      <c r="V75" s="173">
        <f t="shared" si="163"/>
        <v>120305139</v>
      </c>
      <c r="W75" s="174" t="str">
        <f t="shared" si="164"/>
        <v>VÁLIDA</v>
      </c>
      <c r="X75" s="282"/>
      <c r="Y75" s="173">
        <f t="shared" si="165"/>
        <v>0</v>
      </c>
      <c r="Z75" s="174" t="str">
        <f t="shared" si="166"/>
        <v>NO VÁLIDA</v>
      </c>
      <c r="AA75" s="282">
        <v>140921</v>
      </c>
      <c r="AB75" s="173">
        <f t="shared" si="167"/>
        <v>119486916</v>
      </c>
      <c r="AC75" s="174" t="str">
        <f t="shared" si="168"/>
        <v>VÁLIDA</v>
      </c>
    </row>
    <row r="76" spans="1:29" ht="30.6" customHeight="1" x14ac:dyDescent="0.2">
      <c r="A76" s="11"/>
      <c r="B76" s="170">
        <v>58</v>
      </c>
      <c r="C76" s="171" t="s">
        <v>183</v>
      </c>
      <c r="D76" s="310" t="s">
        <v>250</v>
      </c>
      <c r="E76" s="171" t="s">
        <v>228</v>
      </c>
      <c r="F76" s="201">
        <v>32</v>
      </c>
      <c r="G76" s="280">
        <v>68295</v>
      </c>
      <c r="H76" s="172">
        <f t="shared" si="154"/>
        <v>2185440</v>
      </c>
      <c r="I76" s="282">
        <v>68295</v>
      </c>
      <c r="J76" s="173">
        <f t="shared" si="155"/>
        <v>2185440</v>
      </c>
      <c r="K76" s="174" t="str">
        <f t="shared" si="156"/>
        <v>VÁLIDA</v>
      </c>
      <c r="L76" s="282"/>
      <c r="M76" s="173">
        <f t="shared" si="157"/>
        <v>0</v>
      </c>
      <c r="N76" s="174" t="str">
        <f t="shared" si="158"/>
        <v>NO VÁLIDA</v>
      </c>
      <c r="O76" s="282"/>
      <c r="P76" s="173">
        <f t="shared" si="159"/>
        <v>0</v>
      </c>
      <c r="Q76" s="174" t="str">
        <f t="shared" si="160"/>
        <v>NO VÁLIDA</v>
      </c>
      <c r="R76" s="282">
        <v>68295</v>
      </c>
      <c r="S76" s="173">
        <f t="shared" si="161"/>
        <v>2185440</v>
      </c>
      <c r="T76" s="174" t="str">
        <f t="shared" si="162"/>
        <v>VÁLIDA</v>
      </c>
      <c r="U76" s="282">
        <v>68295</v>
      </c>
      <c r="V76" s="173">
        <f t="shared" si="163"/>
        <v>2185440</v>
      </c>
      <c r="W76" s="174" t="str">
        <f t="shared" si="164"/>
        <v>VÁLIDA</v>
      </c>
      <c r="X76" s="282"/>
      <c r="Y76" s="173">
        <f t="shared" si="165"/>
        <v>0</v>
      </c>
      <c r="Z76" s="174" t="str">
        <f t="shared" si="166"/>
        <v>NO VÁLIDA</v>
      </c>
      <c r="AA76" s="282">
        <v>67831</v>
      </c>
      <c r="AB76" s="173">
        <f t="shared" si="167"/>
        <v>2170592</v>
      </c>
      <c r="AC76" s="174" t="str">
        <f t="shared" si="168"/>
        <v>VÁLIDA</v>
      </c>
    </row>
    <row r="77" spans="1:29" ht="30.6" customHeight="1" x14ac:dyDescent="0.2">
      <c r="A77" s="11"/>
      <c r="B77" s="170">
        <v>59</v>
      </c>
      <c r="C77" s="171" t="s">
        <v>184</v>
      </c>
      <c r="D77" s="310" t="s">
        <v>251</v>
      </c>
      <c r="E77" s="171" t="s">
        <v>228</v>
      </c>
      <c r="F77" s="201">
        <v>436</v>
      </c>
      <c r="G77" s="280">
        <v>12556</v>
      </c>
      <c r="H77" s="172">
        <f t="shared" si="154"/>
        <v>5474416</v>
      </c>
      <c r="I77" s="282">
        <v>12556</v>
      </c>
      <c r="J77" s="173">
        <f t="shared" si="155"/>
        <v>5474416</v>
      </c>
      <c r="K77" s="174" t="str">
        <f t="shared" si="156"/>
        <v>VÁLIDA</v>
      </c>
      <c r="L77" s="282"/>
      <c r="M77" s="173">
        <f t="shared" si="157"/>
        <v>0</v>
      </c>
      <c r="N77" s="174" t="str">
        <f t="shared" si="158"/>
        <v>NO VÁLIDA</v>
      </c>
      <c r="O77" s="282"/>
      <c r="P77" s="173">
        <f t="shared" si="159"/>
        <v>0</v>
      </c>
      <c r="Q77" s="174" t="str">
        <f t="shared" si="160"/>
        <v>NO VÁLIDA</v>
      </c>
      <c r="R77" s="282">
        <v>12556</v>
      </c>
      <c r="S77" s="173">
        <f t="shared" si="161"/>
        <v>5474416</v>
      </c>
      <c r="T77" s="174" t="str">
        <f t="shared" si="162"/>
        <v>VÁLIDA</v>
      </c>
      <c r="U77" s="282">
        <v>12556</v>
      </c>
      <c r="V77" s="173">
        <f t="shared" si="163"/>
        <v>5474416</v>
      </c>
      <c r="W77" s="174" t="str">
        <f t="shared" si="164"/>
        <v>VÁLIDA</v>
      </c>
      <c r="X77" s="282"/>
      <c r="Y77" s="173">
        <f t="shared" si="165"/>
        <v>0</v>
      </c>
      <c r="Z77" s="174" t="str">
        <f t="shared" si="166"/>
        <v>NO VÁLIDA</v>
      </c>
      <c r="AA77" s="282">
        <v>12471</v>
      </c>
      <c r="AB77" s="173">
        <f t="shared" si="167"/>
        <v>5437356</v>
      </c>
      <c r="AC77" s="174" t="str">
        <f t="shared" si="168"/>
        <v>VÁLIDA</v>
      </c>
    </row>
    <row r="78" spans="1:29" ht="30.6" customHeight="1" thickBot="1" x14ac:dyDescent="0.25">
      <c r="A78" s="11"/>
      <c r="B78" s="170">
        <v>60</v>
      </c>
      <c r="C78" s="171" t="s">
        <v>185</v>
      </c>
      <c r="D78" s="310" t="s">
        <v>252</v>
      </c>
      <c r="E78" s="171" t="s">
        <v>228</v>
      </c>
      <c r="F78" s="201">
        <v>118</v>
      </c>
      <c r="G78" s="280">
        <v>154236</v>
      </c>
      <c r="H78" s="172">
        <f t="shared" si="154"/>
        <v>18199848</v>
      </c>
      <c r="I78" s="284">
        <v>154236</v>
      </c>
      <c r="J78" s="252">
        <f t="shared" si="155"/>
        <v>18199848</v>
      </c>
      <c r="K78" s="253" t="str">
        <f t="shared" si="156"/>
        <v>VÁLIDA</v>
      </c>
      <c r="L78" s="284"/>
      <c r="M78" s="252">
        <f t="shared" si="157"/>
        <v>0</v>
      </c>
      <c r="N78" s="253" t="str">
        <f t="shared" si="158"/>
        <v>NO VÁLIDA</v>
      </c>
      <c r="O78" s="284"/>
      <c r="P78" s="252">
        <f t="shared" si="159"/>
        <v>0</v>
      </c>
      <c r="Q78" s="253" t="str">
        <f t="shared" si="160"/>
        <v>NO VÁLIDA</v>
      </c>
      <c r="R78" s="284">
        <v>154236</v>
      </c>
      <c r="S78" s="252">
        <f t="shared" si="161"/>
        <v>18199848</v>
      </c>
      <c r="T78" s="253" t="str">
        <f t="shared" si="162"/>
        <v>VÁLIDA</v>
      </c>
      <c r="U78" s="284">
        <v>154236</v>
      </c>
      <c r="V78" s="252">
        <f t="shared" si="163"/>
        <v>18199848</v>
      </c>
      <c r="W78" s="253" t="str">
        <f t="shared" si="164"/>
        <v>VÁLIDA</v>
      </c>
      <c r="X78" s="284"/>
      <c r="Y78" s="252">
        <f t="shared" si="165"/>
        <v>0</v>
      </c>
      <c r="Z78" s="253" t="str">
        <f t="shared" si="166"/>
        <v>NO VÁLIDA</v>
      </c>
      <c r="AA78" s="284">
        <v>153187</v>
      </c>
      <c r="AB78" s="252">
        <f t="shared" si="167"/>
        <v>18076066</v>
      </c>
      <c r="AC78" s="253" t="str">
        <f t="shared" si="168"/>
        <v>VÁLIDA</v>
      </c>
    </row>
    <row r="79" spans="1:29" ht="22.5" customHeight="1" x14ac:dyDescent="0.2">
      <c r="A79" s="11"/>
      <c r="B79" s="168" t="s">
        <v>135</v>
      </c>
      <c r="C79" s="169"/>
      <c r="D79" s="169"/>
      <c r="E79" s="169"/>
      <c r="F79" s="202"/>
      <c r="G79" s="281"/>
      <c r="H79" s="196">
        <f>SUM(H80:H81)</f>
        <v>663003518</v>
      </c>
      <c r="I79" s="283"/>
      <c r="J79" s="198">
        <f>SUM(J80:J81)</f>
        <v>663003518</v>
      </c>
      <c r="K79" s="199"/>
      <c r="L79" s="283"/>
      <c r="M79" s="198">
        <f t="shared" ref="M79" si="169">SUM(M80:M81)</f>
        <v>0</v>
      </c>
      <c r="N79" s="199"/>
      <c r="O79" s="283"/>
      <c r="P79" s="198">
        <f t="shared" ref="P79" si="170">SUM(P80:P81)</f>
        <v>0</v>
      </c>
      <c r="Q79" s="199"/>
      <c r="R79" s="283"/>
      <c r="S79" s="198">
        <f t="shared" ref="S79" si="171">SUM(S80:S81)</f>
        <v>616523518</v>
      </c>
      <c r="T79" s="199"/>
      <c r="U79" s="283"/>
      <c r="V79" s="198">
        <f t="shared" ref="V79" si="172">SUM(V80:V81)</f>
        <v>663003518</v>
      </c>
      <c r="W79" s="199"/>
      <c r="X79" s="283"/>
      <c r="Y79" s="198">
        <f t="shared" ref="Y79" si="173">SUM(Y80:Y81)</f>
        <v>0</v>
      </c>
      <c r="Z79" s="199"/>
      <c r="AA79" s="283"/>
      <c r="AB79" s="198">
        <f t="shared" ref="AB79" si="174">SUM(AB80:AB81)</f>
        <v>658489515</v>
      </c>
      <c r="AC79" s="199"/>
    </row>
    <row r="80" spans="1:29" ht="30.6" customHeight="1" x14ac:dyDescent="0.2">
      <c r="A80" s="11"/>
      <c r="B80" s="170">
        <v>61</v>
      </c>
      <c r="C80" s="171" t="s">
        <v>186</v>
      </c>
      <c r="D80" s="310" t="s">
        <v>253</v>
      </c>
      <c r="E80" s="171" t="s">
        <v>194</v>
      </c>
      <c r="F80" s="201">
        <v>10216.1</v>
      </c>
      <c r="G80" s="280">
        <v>16462</v>
      </c>
      <c r="H80" s="172">
        <f t="shared" ref="H80:H81" si="175">ROUND(G80*F80,0)</f>
        <v>168177438</v>
      </c>
      <c r="I80" s="282">
        <v>16462</v>
      </c>
      <c r="J80" s="173">
        <f t="shared" ref="J80:J81" si="176">ROUND($F80*I80,0)</f>
        <v>168177438</v>
      </c>
      <c r="K80" s="174" t="str">
        <f t="shared" ref="K80:K81" si="177">+IF(I80&gt;0,IF(OR(I80&gt;$G80,ROUND(I80,0)&gt;$G80),"NO VÁLIDA","VÁLIDA"),"NO VÁLIDA")</f>
        <v>VÁLIDA</v>
      </c>
      <c r="L80" s="282"/>
      <c r="M80" s="173">
        <f t="shared" ref="M80:M81" si="178">ROUND($F80*L80,0)</f>
        <v>0</v>
      </c>
      <c r="N80" s="174" t="str">
        <f t="shared" ref="N80:N81" si="179">+IF(L80&gt;0,IF(OR(L80&gt;$G80,ROUND(L80,0)&gt;$G80),"NO VÁLIDA","VÁLIDA"),"NO VÁLIDA")</f>
        <v>NO VÁLIDA</v>
      </c>
      <c r="O80" s="282"/>
      <c r="P80" s="173">
        <f t="shared" ref="P80:P81" si="180">ROUND($F80*O80,0)</f>
        <v>0</v>
      </c>
      <c r="Q80" s="174" t="str">
        <f t="shared" ref="Q80:Q81" si="181">+IF(O80&gt;0,IF(OR(O80&gt;$G80,ROUND(O80,0)&gt;$G80),"NO VÁLIDA","VÁLIDA"),"NO VÁLIDA")</f>
        <v>NO VÁLIDA</v>
      </c>
      <c r="R80" s="282">
        <v>16462</v>
      </c>
      <c r="S80" s="173">
        <f t="shared" ref="S80:S81" si="182">ROUND($F80*R80,0)</f>
        <v>168177438</v>
      </c>
      <c r="T80" s="174" t="str">
        <f t="shared" ref="T80:T81" si="183">+IF(R80&gt;0,IF(OR(R80&gt;$G80,ROUND(R80,0)&gt;$G80),"NO VÁLIDA","VÁLIDA"),"NO VÁLIDA")</f>
        <v>VÁLIDA</v>
      </c>
      <c r="U80" s="282">
        <v>16462</v>
      </c>
      <c r="V80" s="173">
        <f t="shared" ref="V80:V81" si="184">ROUND($F80*U80,0)</f>
        <v>168177438</v>
      </c>
      <c r="W80" s="174" t="str">
        <f t="shared" ref="W80:W81" si="185">+IF(U80&gt;0,IF(OR(U80&gt;$G80,ROUND(U80,0)&gt;$G80),"NO VÁLIDA","VÁLIDA"),"NO VÁLIDA")</f>
        <v>VÁLIDA</v>
      </c>
      <c r="X80" s="282"/>
      <c r="Y80" s="173">
        <f t="shared" ref="Y80:Y81" si="186">ROUND($F80*X80,0)</f>
        <v>0</v>
      </c>
      <c r="Z80" s="174" t="str">
        <f t="shared" ref="Z80:Z81" si="187">+IF(X80&gt;0,IF(OR(X80&gt;$G80,ROUND(X80,0)&gt;$G80),"NO VÁLIDA","VÁLIDA"),"NO VÁLIDA")</f>
        <v>NO VÁLIDA</v>
      </c>
      <c r="AA80" s="282">
        <v>16350</v>
      </c>
      <c r="AB80" s="173">
        <f t="shared" ref="AB80:AB81" si="188">ROUND($F80*AA80,0)</f>
        <v>167033235</v>
      </c>
      <c r="AC80" s="174" t="str">
        <f t="shared" ref="AC80:AC81" si="189">+IF(AA80&gt;0,IF(OR(AA80&gt;$G80,ROUND(AA80,0)&gt;$G80),"NO VÁLIDA","VÁLIDA"),"NO VÁLIDA")</f>
        <v>VÁLIDA</v>
      </c>
    </row>
    <row r="81" spans="1:30" ht="30.6" customHeight="1" thickBot="1" x14ac:dyDescent="0.25">
      <c r="A81" s="11"/>
      <c r="B81" s="170">
        <v>62</v>
      </c>
      <c r="C81" s="171" t="s">
        <v>187</v>
      </c>
      <c r="D81" s="310" t="s">
        <v>254</v>
      </c>
      <c r="E81" s="171" t="s">
        <v>101</v>
      </c>
      <c r="F81" s="201">
        <v>23240</v>
      </c>
      <c r="G81" s="280">
        <v>21292</v>
      </c>
      <c r="H81" s="172">
        <f t="shared" si="175"/>
        <v>494826080</v>
      </c>
      <c r="I81" s="284">
        <v>21292</v>
      </c>
      <c r="J81" s="252">
        <f t="shared" si="176"/>
        <v>494826080</v>
      </c>
      <c r="K81" s="253" t="str">
        <f t="shared" si="177"/>
        <v>VÁLIDA</v>
      </c>
      <c r="L81" s="284"/>
      <c r="M81" s="252">
        <f t="shared" si="178"/>
        <v>0</v>
      </c>
      <c r="N81" s="253" t="str">
        <f t="shared" si="179"/>
        <v>NO VÁLIDA</v>
      </c>
      <c r="O81" s="284"/>
      <c r="P81" s="252">
        <f t="shared" si="180"/>
        <v>0</v>
      </c>
      <c r="Q81" s="253" t="str">
        <f t="shared" si="181"/>
        <v>NO VÁLIDA</v>
      </c>
      <c r="R81" s="284">
        <v>19292</v>
      </c>
      <c r="S81" s="252">
        <f t="shared" si="182"/>
        <v>448346080</v>
      </c>
      <c r="T81" s="253" t="str">
        <f t="shared" si="183"/>
        <v>VÁLIDA</v>
      </c>
      <c r="U81" s="284">
        <v>21292</v>
      </c>
      <c r="V81" s="252">
        <f t="shared" si="184"/>
        <v>494826080</v>
      </c>
      <c r="W81" s="253" t="str">
        <f t="shared" si="185"/>
        <v>VÁLIDA</v>
      </c>
      <c r="X81" s="284"/>
      <c r="Y81" s="252">
        <f t="shared" si="186"/>
        <v>0</v>
      </c>
      <c r="Z81" s="253" t="str">
        <f t="shared" si="187"/>
        <v>NO VÁLIDA</v>
      </c>
      <c r="AA81" s="284">
        <v>21147</v>
      </c>
      <c r="AB81" s="252">
        <f t="shared" si="188"/>
        <v>491456280</v>
      </c>
      <c r="AC81" s="253" t="str">
        <f t="shared" si="189"/>
        <v>VÁLIDA</v>
      </c>
    </row>
    <row r="82" spans="1:30" ht="22.5" customHeight="1" x14ac:dyDescent="0.2">
      <c r="A82" s="11"/>
      <c r="B82" s="168" t="s">
        <v>136</v>
      </c>
      <c r="C82" s="169"/>
      <c r="D82" s="169"/>
      <c r="E82" s="169"/>
      <c r="F82" s="202"/>
      <c r="G82" s="281"/>
      <c r="H82" s="196">
        <f>SUM(H83:H86)</f>
        <v>4624406550</v>
      </c>
      <c r="I82" s="283"/>
      <c r="J82" s="198">
        <f>SUM(J83:J86)</f>
        <v>4624406550</v>
      </c>
      <c r="K82" s="199"/>
      <c r="L82" s="283"/>
      <c r="M82" s="198">
        <f t="shared" ref="M82" si="190">SUM(M83:M86)</f>
        <v>0</v>
      </c>
      <c r="N82" s="199"/>
      <c r="O82" s="283"/>
      <c r="P82" s="198">
        <f t="shared" ref="P82" si="191">SUM(P83:P86)</f>
        <v>0</v>
      </c>
      <c r="Q82" s="199"/>
      <c r="R82" s="283"/>
      <c r="S82" s="198">
        <f t="shared" ref="S82" si="192">SUM(S83:S86)</f>
        <v>4624406499</v>
      </c>
      <c r="T82" s="199"/>
      <c r="U82" s="283"/>
      <c r="V82" s="198">
        <f t="shared" ref="V82" si="193">SUM(V83:V86)</f>
        <v>4613921657</v>
      </c>
      <c r="W82" s="199"/>
      <c r="X82" s="283"/>
      <c r="Y82" s="198">
        <f t="shared" ref="Y82" si="194">SUM(Y83:Y86)</f>
        <v>0</v>
      </c>
      <c r="Z82" s="199"/>
      <c r="AA82" s="283"/>
      <c r="AB82" s="198">
        <f t="shared" ref="AB82" si="195">SUM(AB83:AB86)</f>
        <v>4592947739</v>
      </c>
      <c r="AC82" s="199"/>
    </row>
    <row r="83" spans="1:30" ht="70.5" customHeight="1" x14ac:dyDescent="0.2">
      <c r="A83" s="11"/>
      <c r="B83" s="170">
        <v>63</v>
      </c>
      <c r="C83" s="171" t="s">
        <v>113</v>
      </c>
      <c r="D83" s="310" t="s">
        <v>255</v>
      </c>
      <c r="E83" s="171" t="s">
        <v>115</v>
      </c>
      <c r="F83" s="201">
        <v>705.6</v>
      </c>
      <c r="G83" s="280">
        <v>838.000006749043</v>
      </c>
      <c r="H83" s="172">
        <f t="shared" ref="H83:H86" si="196">ROUND(G83*F83,0)</f>
        <v>591293</v>
      </c>
      <c r="I83" s="282">
        <v>838.000006749043</v>
      </c>
      <c r="J83" s="173">
        <f t="shared" ref="J83:J86" si="197">ROUND($F83*I83,0)</f>
        <v>591293</v>
      </c>
      <c r="K83" s="174" t="str">
        <f t="shared" ref="K83:K86" si="198">+IF(I83&gt;0,IF(OR(I83&gt;$G83,ROUND(I83,0)&gt;$G83),"NO VÁLIDA","VÁLIDA"),"NO VÁLIDA")</f>
        <v>VÁLIDA</v>
      </c>
      <c r="L83" s="282"/>
      <c r="M83" s="173">
        <f t="shared" ref="M83:M86" si="199">ROUND($F83*L83,0)</f>
        <v>0</v>
      </c>
      <c r="N83" s="174" t="str">
        <f t="shared" ref="N83:N86" si="200">+IF(L83&gt;0,IF(OR(L83&gt;$G83,ROUND(L83,0)&gt;$G83),"NO VÁLIDA","VÁLIDA"),"NO VÁLIDA")</f>
        <v>NO VÁLIDA</v>
      </c>
      <c r="O83" s="282"/>
      <c r="P83" s="173">
        <f t="shared" ref="P83:P86" si="201">ROUND($F83*O83,0)</f>
        <v>0</v>
      </c>
      <c r="Q83" s="174" t="str">
        <f t="shared" ref="Q83:Q86" si="202">+IF(O83&gt;0,IF(OR(O83&gt;$G83,ROUND(O83,0)&gt;$G83),"NO VÁLIDA","VÁLIDA"),"NO VÁLIDA")</f>
        <v>NO VÁLIDA</v>
      </c>
      <c r="R83" s="282">
        <v>838</v>
      </c>
      <c r="S83" s="323">
        <f t="shared" ref="S83:S86" si="203">ROUND($F83*R83,0)</f>
        <v>591293</v>
      </c>
      <c r="T83" s="174" t="str">
        <f t="shared" ref="T83:T86" si="204">+IF(R83&gt;0,IF(OR(R83&gt;$G83,ROUND(R83,0)&gt;$G83),"NO VÁLIDA","VÁLIDA"),"NO VÁLIDA")</f>
        <v>VÁLIDA</v>
      </c>
      <c r="U83" s="282">
        <v>838</v>
      </c>
      <c r="V83" s="173">
        <f t="shared" ref="V83:V86" si="205">ROUND($F83*U83,0)</f>
        <v>591293</v>
      </c>
      <c r="W83" s="174" t="str">
        <f t="shared" ref="W83:W86" si="206">+IF(U83&gt;0,IF(OR(U83&gt;$G83,ROUND(U83,0)&gt;$G83),"NO VÁLIDA","VÁLIDA"),"NO VÁLIDA")</f>
        <v>VÁLIDA</v>
      </c>
      <c r="X83" s="282"/>
      <c r="Y83" s="173">
        <f t="shared" ref="Y83:Y86" si="207">ROUND($F83*X83,0)</f>
        <v>0</v>
      </c>
      <c r="Z83" s="174" t="str">
        <f t="shared" ref="Z83:Z86" si="208">+IF(X83&gt;0,IF(OR(X83&gt;$G83,ROUND(X83,0)&gt;$G83),"NO VÁLIDA","VÁLIDA"),"NO VÁLIDA")</f>
        <v>NO VÁLIDA</v>
      </c>
      <c r="AA83" s="282">
        <v>832</v>
      </c>
      <c r="AB83" s="173">
        <f t="shared" ref="AB83:AB86" si="209">ROUND($F83*AA83,0)</f>
        <v>587059</v>
      </c>
      <c r="AC83" s="174" t="str">
        <f t="shared" ref="AC83:AC86" si="210">+IF(AA83&gt;0,IF(OR(AA83&gt;$G83,ROUND(AA83,0)&gt;$G83),"NO VÁLIDA","VÁLIDA"),"NO VÁLIDA")</f>
        <v>VÁLIDA</v>
      </c>
    </row>
    <row r="84" spans="1:30" ht="60.6" customHeight="1" x14ac:dyDescent="0.2">
      <c r="A84" s="11"/>
      <c r="B84" s="170">
        <v>64</v>
      </c>
      <c r="C84" s="171" t="s">
        <v>94</v>
      </c>
      <c r="D84" s="310" t="s">
        <v>256</v>
      </c>
      <c r="E84" s="171" t="s">
        <v>257</v>
      </c>
      <c r="F84" s="201">
        <v>101103.8</v>
      </c>
      <c r="G84" s="280">
        <v>882.00000974589352</v>
      </c>
      <c r="H84" s="172">
        <f t="shared" ref="H84" si="211">ROUND(G84*F84,0)</f>
        <v>89173553</v>
      </c>
      <c r="I84" s="282">
        <v>882.00000974589352</v>
      </c>
      <c r="J84" s="173">
        <f t="shared" si="197"/>
        <v>89173553</v>
      </c>
      <c r="K84" s="174" t="str">
        <f t="shared" si="198"/>
        <v>VÁLIDA</v>
      </c>
      <c r="L84" s="282"/>
      <c r="M84" s="173">
        <f t="shared" si="199"/>
        <v>0</v>
      </c>
      <c r="N84" s="174" t="str">
        <f t="shared" si="200"/>
        <v>NO VÁLIDA</v>
      </c>
      <c r="O84" s="282"/>
      <c r="P84" s="173">
        <f t="shared" si="201"/>
        <v>0</v>
      </c>
      <c r="Q84" s="174" t="str">
        <f t="shared" si="202"/>
        <v>NO VÁLIDA</v>
      </c>
      <c r="R84" s="282">
        <v>882</v>
      </c>
      <c r="S84" s="323">
        <f t="shared" si="203"/>
        <v>89173552</v>
      </c>
      <c r="T84" s="174" t="str">
        <f t="shared" si="204"/>
        <v>VÁLIDA</v>
      </c>
      <c r="U84" s="282">
        <v>880</v>
      </c>
      <c r="V84" s="173">
        <f t="shared" si="205"/>
        <v>88971344</v>
      </c>
      <c r="W84" s="174" t="str">
        <f t="shared" si="206"/>
        <v>VÁLIDA</v>
      </c>
      <c r="X84" s="282"/>
      <c r="Y84" s="173">
        <f t="shared" si="207"/>
        <v>0</v>
      </c>
      <c r="Z84" s="174" t="str">
        <f t="shared" si="208"/>
        <v>NO VÁLIDA</v>
      </c>
      <c r="AA84" s="282">
        <v>876</v>
      </c>
      <c r="AB84" s="173">
        <f t="shared" si="209"/>
        <v>88566929</v>
      </c>
      <c r="AC84" s="174" t="str">
        <f t="shared" si="210"/>
        <v>VÁLIDA</v>
      </c>
    </row>
    <row r="85" spans="1:30" ht="50.45" customHeight="1" x14ac:dyDescent="0.2">
      <c r="A85" s="11"/>
      <c r="B85" s="170">
        <v>65</v>
      </c>
      <c r="C85" s="171" t="s">
        <v>188</v>
      </c>
      <c r="D85" s="310" t="s">
        <v>258</v>
      </c>
      <c r="E85" s="171" t="s">
        <v>257</v>
      </c>
      <c r="F85" s="201">
        <v>6557.4</v>
      </c>
      <c r="G85" s="280">
        <v>882.00000974589386</v>
      </c>
      <c r="H85" s="172">
        <f t="shared" si="196"/>
        <v>5783627</v>
      </c>
      <c r="I85" s="282">
        <v>882.00000974589386</v>
      </c>
      <c r="J85" s="173">
        <f t="shared" si="197"/>
        <v>5783627</v>
      </c>
      <c r="K85" s="174" t="str">
        <f t="shared" si="198"/>
        <v>VÁLIDA</v>
      </c>
      <c r="L85" s="282"/>
      <c r="M85" s="173">
        <f t="shared" si="199"/>
        <v>0</v>
      </c>
      <c r="N85" s="174" t="str">
        <f t="shared" si="200"/>
        <v>NO VÁLIDA</v>
      </c>
      <c r="O85" s="282"/>
      <c r="P85" s="173">
        <f t="shared" si="201"/>
        <v>0</v>
      </c>
      <c r="Q85" s="174" t="str">
        <f t="shared" si="202"/>
        <v>NO VÁLIDA</v>
      </c>
      <c r="R85" s="282">
        <v>882</v>
      </c>
      <c r="S85" s="323">
        <f t="shared" si="203"/>
        <v>5783627</v>
      </c>
      <c r="T85" s="174" t="str">
        <f t="shared" si="204"/>
        <v>VÁLIDA</v>
      </c>
      <c r="U85" s="282">
        <v>880</v>
      </c>
      <c r="V85" s="173">
        <f t="shared" si="205"/>
        <v>5770512</v>
      </c>
      <c r="W85" s="174" t="str">
        <f t="shared" si="206"/>
        <v>VÁLIDA</v>
      </c>
      <c r="X85" s="282"/>
      <c r="Y85" s="173">
        <f t="shared" si="207"/>
        <v>0</v>
      </c>
      <c r="Z85" s="174" t="str">
        <f t="shared" si="208"/>
        <v>NO VÁLIDA</v>
      </c>
      <c r="AA85" s="282">
        <v>876</v>
      </c>
      <c r="AB85" s="173">
        <f t="shared" si="209"/>
        <v>5744282</v>
      </c>
      <c r="AC85" s="174" t="str">
        <f t="shared" si="210"/>
        <v>VÁLIDA</v>
      </c>
    </row>
    <row r="86" spans="1:30" ht="110.45" customHeight="1" thickBot="1" x14ac:dyDescent="0.25">
      <c r="A86" s="11"/>
      <c r="B86" s="311">
        <v>66</v>
      </c>
      <c r="C86" s="312" t="s">
        <v>189</v>
      </c>
      <c r="D86" s="313" t="s">
        <v>259</v>
      </c>
      <c r="E86" s="312" t="s">
        <v>257</v>
      </c>
      <c r="F86" s="314">
        <v>5134759.6678476436</v>
      </c>
      <c r="G86" s="315">
        <v>882.00000974589386</v>
      </c>
      <c r="H86" s="316">
        <f t="shared" si="196"/>
        <v>4528858077</v>
      </c>
      <c r="I86" s="284">
        <v>882.00000974589386</v>
      </c>
      <c r="J86" s="252">
        <f t="shared" si="197"/>
        <v>4528858077</v>
      </c>
      <c r="K86" s="253" t="str">
        <f t="shared" si="198"/>
        <v>VÁLIDA</v>
      </c>
      <c r="L86" s="284"/>
      <c r="M86" s="252">
        <f t="shared" si="199"/>
        <v>0</v>
      </c>
      <c r="N86" s="253" t="str">
        <f t="shared" si="200"/>
        <v>NO VÁLIDA</v>
      </c>
      <c r="O86" s="284"/>
      <c r="P86" s="252">
        <f t="shared" si="201"/>
        <v>0</v>
      </c>
      <c r="Q86" s="253" t="str">
        <f t="shared" si="202"/>
        <v>NO VÁLIDA</v>
      </c>
      <c r="R86" s="284">
        <v>882</v>
      </c>
      <c r="S86" s="324">
        <f t="shared" si="203"/>
        <v>4528858027</v>
      </c>
      <c r="T86" s="253" t="str">
        <f t="shared" si="204"/>
        <v>VÁLIDA</v>
      </c>
      <c r="U86" s="284">
        <v>880</v>
      </c>
      <c r="V86" s="252">
        <f t="shared" si="205"/>
        <v>4518588508</v>
      </c>
      <c r="W86" s="253" t="str">
        <f t="shared" si="206"/>
        <v>VÁLIDA</v>
      </c>
      <c r="X86" s="284"/>
      <c r="Y86" s="252">
        <f t="shared" si="207"/>
        <v>0</v>
      </c>
      <c r="Z86" s="253" t="str">
        <f t="shared" si="208"/>
        <v>NO VÁLIDA</v>
      </c>
      <c r="AA86" s="284">
        <v>876</v>
      </c>
      <c r="AB86" s="252">
        <f t="shared" si="209"/>
        <v>4498049469</v>
      </c>
      <c r="AC86" s="253" t="str">
        <f t="shared" si="210"/>
        <v>VÁLIDA</v>
      </c>
    </row>
    <row r="87" spans="1:30" s="40" customFormat="1" ht="32.25" customHeight="1" x14ac:dyDescent="0.2">
      <c r="A87" s="39"/>
      <c r="B87" s="317"/>
      <c r="C87" s="318"/>
      <c r="D87" s="319"/>
      <c r="E87" s="318"/>
      <c r="F87" s="320"/>
      <c r="G87" s="320" t="s">
        <v>260</v>
      </c>
      <c r="H87" s="321">
        <f>ROUND(SUM(H14,H27,H32,H35,H65,H79,H82),0)</f>
        <v>21438502855</v>
      </c>
      <c r="I87" s="175"/>
      <c r="J87" s="276">
        <f>ROUND(SUM(J14,J27,J32,J35,J65,J79,J82),0)</f>
        <v>21365744330</v>
      </c>
      <c r="K87" s="178"/>
      <c r="L87" s="175"/>
      <c r="M87" s="276">
        <f t="shared" ref="M87" si="212">ROUND(SUM(M14,M27,M32,M35,M65,M79,M82),0)</f>
        <v>0</v>
      </c>
      <c r="N87" s="178"/>
      <c r="O87" s="175"/>
      <c r="P87" s="276">
        <f t="shared" ref="P87" si="213">ROUND(SUM(P14,P27,P32,P35,P65,P79,P82),0)</f>
        <v>0</v>
      </c>
      <c r="Q87" s="178"/>
      <c r="R87" s="175"/>
      <c r="S87" s="276">
        <f t="shared" ref="S87" si="214">ROUND(SUM(S14,S27,S32,S35,S65,S79,S82),0)</f>
        <v>21300982387</v>
      </c>
      <c r="T87" s="178"/>
      <c r="U87" s="175"/>
      <c r="V87" s="276">
        <f t="shared" ref="V87" si="215">ROUND(SUM(V14,V27,V32,V35,V65,V79,V82),0)</f>
        <v>20426606782</v>
      </c>
      <c r="W87" s="178"/>
      <c r="X87" s="175"/>
      <c r="Y87" s="276">
        <f t="shared" ref="Y87" si="216">ROUND(SUM(Y14,Y27,Y32,Y35,Y65,Y79,Y82),0)</f>
        <v>0</v>
      </c>
      <c r="Z87" s="178"/>
      <c r="AA87" s="175"/>
      <c r="AB87" s="276">
        <f t="shared" ref="AB87" si="217">ROUND(SUM(AB14,AB27,AB32,AB35,AB65,AB79,AB82),0)</f>
        <v>21292740366</v>
      </c>
      <c r="AC87" s="178"/>
      <c r="AD87"/>
    </row>
    <row r="88" spans="1:30" s="40" customFormat="1" ht="32.25" customHeight="1" x14ac:dyDescent="0.2">
      <c r="A88" s="39"/>
      <c r="B88" s="350" t="s">
        <v>91</v>
      </c>
      <c r="C88" s="351"/>
      <c r="D88" s="351"/>
      <c r="E88" s="351"/>
      <c r="F88" s="352"/>
      <c r="G88" s="267">
        <v>0.22</v>
      </c>
      <c r="H88" s="250">
        <f>ROUND($H$87*G88,0)</f>
        <v>4716470628</v>
      </c>
      <c r="I88" s="285">
        <v>0.22</v>
      </c>
      <c r="J88" s="250">
        <f>ROUND(J87*I88,0)</f>
        <v>4700463753</v>
      </c>
      <c r="K88" s="176"/>
      <c r="L88" s="285"/>
      <c r="M88" s="250">
        <f t="shared" ref="M88" si="218">ROUND(M87*L88,0)</f>
        <v>0</v>
      </c>
      <c r="N88" s="176"/>
      <c r="O88" s="285"/>
      <c r="P88" s="250">
        <f t="shared" ref="P88" si="219">ROUND(P87*O88,0)</f>
        <v>0</v>
      </c>
      <c r="Q88" s="176"/>
      <c r="R88" s="285">
        <v>0.22</v>
      </c>
      <c r="S88" s="250">
        <f t="shared" ref="S88" si="220">ROUND(S87*R88,0)</f>
        <v>4686216125</v>
      </c>
      <c r="T88" s="176"/>
      <c r="U88" s="285">
        <v>0.27900000000000003</v>
      </c>
      <c r="V88" s="250">
        <f t="shared" ref="V88" si="221">ROUND(V87*U88,0)</f>
        <v>5699023292</v>
      </c>
      <c r="W88" s="176"/>
      <c r="X88" s="285"/>
      <c r="Y88" s="250">
        <f t="shared" ref="Y88" si="222">ROUND(Y87*X88,0)</f>
        <v>0</v>
      </c>
      <c r="Z88" s="176"/>
      <c r="AA88" s="285">
        <v>0.215</v>
      </c>
      <c r="AB88" s="250">
        <f t="shared" ref="AB88" si="223">ROUND(AB87*AA88,0)</f>
        <v>4577939179</v>
      </c>
      <c r="AC88" s="176"/>
      <c r="AD88"/>
    </row>
    <row r="89" spans="1:30" s="40" customFormat="1" ht="32.25" customHeight="1" x14ac:dyDescent="0.2">
      <c r="A89" s="39"/>
      <c r="B89" s="350" t="s">
        <v>92</v>
      </c>
      <c r="C89" s="351"/>
      <c r="D89" s="351"/>
      <c r="E89" s="351"/>
      <c r="F89" s="352"/>
      <c r="G89" s="267">
        <v>0.05</v>
      </c>
      <c r="H89" s="250">
        <f t="shared" ref="H89:H90" si="224">ROUND($H$87*G89,0)</f>
        <v>1071925143</v>
      </c>
      <c r="I89" s="285">
        <v>0.05</v>
      </c>
      <c r="J89" s="250">
        <f>ROUND(J87*I89,0)</f>
        <v>1068287217</v>
      </c>
      <c r="K89" s="176"/>
      <c r="L89" s="285"/>
      <c r="M89" s="250">
        <f t="shared" ref="M89" si="225">ROUND(M87*L89,0)</f>
        <v>0</v>
      </c>
      <c r="N89" s="176"/>
      <c r="O89" s="285"/>
      <c r="P89" s="250">
        <f t="shared" ref="P89" si="226">ROUND(P87*O89,0)</f>
        <v>0</v>
      </c>
      <c r="Q89" s="176"/>
      <c r="R89" s="285">
        <v>0.05</v>
      </c>
      <c r="S89" s="250">
        <f t="shared" ref="S89" si="227">ROUND(S87*R89,0)</f>
        <v>1065049119</v>
      </c>
      <c r="T89" s="176"/>
      <c r="U89" s="285">
        <v>1E-3</v>
      </c>
      <c r="V89" s="250">
        <f t="shared" ref="V89" si="228">ROUND(V87*U89,0)</f>
        <v>20426607</v>
      </c>
      <c r="W89" s="176"/>
      <c r="X89" s="285"/>
      <c r="Y89" s="250">
        <f t="shared" ref="Y89" si="229">ROUND(Y87*X89,0)</f>
        <v>0</v>
      </c>
      <c r="Z89" s="176"/>
      <c r="AA89" s="285">
        <v>0.05</v>
      </c>
      <c r="AB89" s="250">
        <f t="shared" ref="AB89" si="230">ROUND(AB87*AA89,0)</f>
        <v>1064637018</v>
      </c>
      <c r="AC89" s="176"/>
      <c r="AD89"/>
    </row>
    <row r="90" spans="1:30" s="40" customFormat="1" ht="32.25" customHeight="1" x14ac:dyDescent="0.2">
      <c r="A90" s="39"/>
      <c r="B90" s="350" t="s">
        <v>93</v>
      </c>
      <c r="C90" s="351"/>
      <c r="D90" s="351"/>
      <c r="E90" s="351"/>
      <c r="F90" s="352"/>
      <c r="G90" s="267">
        <v>0.05</v>
      </c>
      <c r="H90" s="250">
        <f t="shared" si="224"/>
        <v>1071925143</v>
      </c>
      <c r="I90" s="286">
        <v>0.05</v>
      </c>
      <c r="J90" s="250">
        <f>ROUND(J87*I90,0)</f>
        <v>1068287217</v>
      </c>
      <c r="K90" s="177"/>
      <c r="L90" s="286"/>
      <c r="M90" s="250">
        <f t="shared" ref="M90" si="231">ROUND(M87*L90,0)</f>
        <v>0</v>
      </c>
      <c r="N90" s="177"/>
      <c r="O90" s="286"/>
      <c r="P90" s="250">
        <f t="shared" ref="P90" si="232">ROUND(P87*O90,0)</f>
        <v>0</v>
      </c>
      <c r="Q90" s="177"/>
      <c r="R90" s="286">
        <v>0.05</v>
      </c>
      <c r="S90" s="250">
        <f t="shared" ref="S90" si="233">ROUND(S87*R90,0)</f>
        <v>1065049119</v>
      </c>
      <c r="T90" s="177"/>
      <c r="U90" s="286">
        <v>0.04</v>
      </c>
      <c r="V90" s="250">
        <f t="shared" ref="V90" si="234">ROUND(V87*U90,0)</f>
        <v>817064271</v>
      </c>
      <c r="W90" s="177"/>
      <c r="X90" s="286"/>
      <c r="Y90" s="250">
        <f t="shared" ref="Y90" si="235">ROUND(Y87*X90,0)</f>
        <v>0</v>
      </c>
      <c r="Z90" s="177"/>
      <c r="AA90" s="286">
        <v>0.05</v>
      </c>
      <c r="AB90" s="250">
        <f t="shared" ref="AB90" si="236">ROUND(AB87*AA90,0)</f>
        <v>1064637018</v>
      </c>
      <c r="AC90" s="177"/>
      <c r="AD90"/>
    </row>
    <row r="91" spans="1:30" s="40" customFormat="1" ht="32.25" customHeight="1" x14ac:dyDescent="0.2">
      <c r="A91" s="39"/>
      <c r="B91" s="373" t="s">
        <v>116</v>
      </c>
      <c r="C91" s="374"/>
      <c r="D91" s="374"/>
      <c r="E91" s="374"/>
      <c r="F91" s="375"/>
      <c r="G91" s="268">
        <f>SUM(G88:G90)</f>
        <v>0.32</v>
      </c>
      <c r="H91" s="269">
        <f>SUM(H88:H90)</f>
        <v>6860320914</v>
      </c>
      <c r="I91" s="275">
        <f>SUM(I88:I90)</f>
        <v>0.32</v>
      </c>
      <c r="J91" s="269">
        <f t="shared" ref="J91" si="237">SUM(J88:J90)</f>
        <v>6837038187</v>
      </c>
      <c r="K91" s="174" t="str">
        <f>IF(OR(J91&lt;0.9*$H91,J91&gt;1.1*$H91),"NO VÁLIDA","VÁLIDA")</f>
        <v>VÁLIDA</v>
      </c>
      <c r="L91" s="275">
        <f t="shared" ref="L91:AB91" si="238">SUM(L88:L90)</f>
        <v>0</v>
      </c>
      <c r="M91" s="269">
        <f t="shared" si="238"/>
        <v>0</v>
      </c>
      <c r="N91" s="174" t="str">
        <f t="shared" ref="N91" si="239">IF(OR(M91&lt;0.9*$H91,M91&gt;1.1*$H91),"NO VÁLIDA","VÁLIDA")</f>
        <v>NO VÁLIDA</v>
      </c>
      <c r="O91" s="275">
        <f t="shared" ref="O91" si="240">SUM(O88:O90)</f>
        <v>0</v>
      </c>
      <c r="P91" s="269">
        <f t="shared" si="238"/>
        <v>0</v>
      </c>
      <c r="Q91" s="174" t="str">
        <f t="shared" ref="Q91" si="241">IF(OR(P91&lt;0.9*$H91,P91&gt;1.1*$H91),"NO VÁLIDA","VÁLIDA")</f>
        <v>NO VÁLIDA</v>
      </c>
      <c r="R91" s="275">
        <f t="shared" ref="R91" si="242">SUM(R88:R90)</f>
        <v>0.32</v>
      </c>
      <c r="S91" s="269">
        <f t="shared" si="238"/>
        <v>6816314363</v>
      </c>
      <c r="T91" s="174" t="str">
        <f t="shared" ref="T91" si="243">IF(OR(S91&lt;0.9*$H91,S91&gt;1.1*$H91),"NO VÁLIDA","VÁLIDA")</f>
        <v>VÁLIDA</v>
      </c>
      <c r="U91" s="275">
        <f t="shared" ref="U91" si="244">SUM(U88:U90)</f>
        <v>0.32</v>
      </c>
      <c r="V91" s="269">
        <f t="shared" si="238"/>
        <v>6536514170</v>
      </c>
      <c r="W91" s="174" t="str">
        <f t="shared" ref="W91" si="245">IF(OR(V91&lt;0.9*$H91,V91&gt;1.1*$H91),"NO VÁLIDA","VÁLIDA")</f>
        <v>VÁLIDA</v>
      </c>
      <c r="X91" s="275">
        <f t="shared" ref="X91" si="246">SUM(X88:X90)</f>
        <v>0</v>
      </c>
      <c r="Y91" s="269">
        <f t="shared" si="238"/>
        <v>0</v>
      </c>
      <c r="Z91" s="174" t="str">
        <f t="shared" ref="Z91" si="247">IF(OR(Y91&lt;0.9*$H91,Y91&gt;1.1*$H91),"NO VÁLIDA","VÁLIDA")</f>
        <v>NO VÁLIDA</v>
      </c>
      <c r="AA91" s="275">
        <f t="shared" ref="AA91" si="248">SUM(AA88:AA90)</f>
        <v>0.315</v>
      </c>
      <c r="AB91" s="269">
        <f t="shared" si="238"/>
        <v>6707213215</v>
      </c>
      <c r="AC91" s="174" t="str">
        <f t="shared" ref="AC91" si="249">IF(OR(AB91&lt;0.9*$H91,AB91&gt;1.1*$H91),"NO VÁLIDA","VÁLIDA")</f>
        <v>VÁLIDA</v>
      </c>
      <c r="AD91"/>
    </row>
    <row r="92" spans="1:30" s="40" customFormat="1" ht="32.25" customHeight="1" x14ac:dyDescent="0.2">
      <c r="A92" s="39"/>
      <c r="B92" s="263"/>
      <c r="C92" s="264"/>
      <c r="D92" s="265"/>
      <c r="E92" s="264"/>
      <c r="F92" s="266"/>
      <c r="G92" s="266" t="s">
        <v>261</v>
      </c>
      <c r="H92" s="262">
        <f>ROUND(SUM(H87,H91),0)</f>
        <v>28298823769</v>
      </c>
      <c r="I92" s="175"/>
      <c r="J92" s="277">
        <f>ROUND(SUM(J87,J91),0)</f>
        <v>28202782517</v>
      </c>
      <c r="K92" s="178"/>
      <c r="L92" s="175"/>
      <c r="M92" s="277">
        <f t="shared" ref="M92" si="250">ROUND(SUM(M87,M91),0)</f>
        <v>0</v>
      </c>
      <c r="N92" s="178"/>
      <c r="O92" s="175"/>
      <c r="P92" s="277">
        <f t="shared" ref="P92" si="251">ROUND(SUM(P87,P91),0)</f>
        <v>0</v>
      </c>
      <c r="Q92" s="178"/>
      <c r="R92" s="175"/>
      <c r="S92" s="277">
        <f t="shared" ref="S92" si="252">ROUND(SUM(S87,S91),0)</f>
        <v>28117296750</v>
      </c>
      <c r="T92" s="178"/>
      <c r="U92" s="175"/>
      <c r="V92" s="277">
        <f t="shared" ref="V92" si="253">ROUND(SUM(V87,V91),0)</f>
        <v>26963120952</v>
      </c>
      <c r="W92" s="178"/>
      <c r="X92" s="175"/>
      <c r="Y92" s="277">
        <f t="shared" ref="Y92" si="254">ROUND(SUM(Y87,Y91),0)</f>
        <v>0</v>
      </c>
      <c r="Z92" s="178"/>
      <c r="AA92" s="175"/>
      <c r="AB92" s="277">
        <f t="shared" ref="AB92" si="255">ROUND(SUM(AB87,AB91),0)</f>
        <v>27999953581</v>
      </c>
      <c r="AC92" s="178"/>
      <c r="AD92"/>
    </row>
    <row r="93" spans="1:30" s="40" customFormat="1" ht="32.25" customHeight="1" x14ac:dyDescent="0.2">
      <c r="A93" s="39"/>
      <c r="B93" s="373" t="s">
        <v>117</v>
      </c>
      <c r="C93" s="374"/>
      <c r="D93" s="374"/>
      <c r="E93" s="374"/>
      <c r="F93" s="375"/>
      <c r="G93" s="268">
        <v>0.19</v>
      </c>
      <c r="H93" s="269">
        <f>+ROUND(((H92*G93*G90)/(1+G91)),0)</f>
        <v>203665777</v>
      </c>
      <c r="I93" s="287"/>
      <c r="J93" s="278">
        <f>+ROUND(((J92*$G$93*I90)/(1+I91)),0)</f>
        <v>202974571</v>
      </c>
      <c r="K93" s="178"/>
      <c r="L93" s="287"/>
      <c r="M93" s="278">
        <f t="shared" ref="M93" si="256">+ROUND(((M92*$G$93*L90)/(1+L91)),0)</f>
        <v>0</v>
      </c>
      <c r="N93" s="178"/>
      <c r="O93" s="287"/>
      <c r="P93" s="278">
        <f t="shared" ref="P93" si="257">+ROUND(((P92*$G$93*O90)/(1+O91)),0)</f>
        <v>0</v>
      </c>
      <c r="Q93" s="178"/>
      <c r="R93" s="287"/>
      <c r="S93" s="278">
        <f t="shared" ref="S93" si="258">+ROUND(((S92*$G$93*R90)/(1+R91)),0)</f>
        <v>202359333</v>
      </c>
      <c r="T93" s="178"/>
      <c r="U93" s="287"/>
      <c r="V93" s="278">
        <f t="shared" ref="V93" si="259">+ROUND(((V92*$G$93*U90)/(1+U91)),0)</f>
        <v>155242212</v>
      </c>
      <c r="W93" s="178"/>
      <c r="X93" s="287"/>
      <c r="Y93" s="278">
        <f t="shared" ref="Y93" si="260">+ROUND(((Y92*$G$93*X90)/(1+X91)),0)</f>
        <v>0</v>
      </c>
      <c r="Z93" s="178"/>
      <c r="AA93" s="287"/>
      <c r="AB93" s="278">
        <f t="shared" ref="AB93" si="261">+ROUND(((AB92*$G$93*AA90)/(1+AA91)),0)</f>
        <v>202281033</v>
      </c>
      <c r="AC93" s="178"/>
      <c r="AD93"/>
    </row>
    <row r="94" spans="1:30" s="40" customFormat="1" ht="32.25" customHeight="1" x14ac:dyDescent="0.2">
      <c r="A94" s="39"/>
      <c r="B94" s="263"/>
      <c r="C94" s="264"/>
      <c r="D94" s="265"/>
      <c r="E94" s="264"/>
      <c r="F94" s="266"/>
      <c r="G94" s="266" t="s">
        <v>262</v>
      </c>
      <c r="H94" s="262">
        <f>ROUND(SUM(H92,H93),0)</f>
        <v>28502489546</v>
      </c>
      <c r="I94" s="237"/>
      <c r="J94" s="277">
        <f>ROUND(SUM(J92,J93),0)</f>
        <v>28405757088</v>
      </c>
      <c r="K94" s="178"/>
      <c r="L94" s="237"/>
      <c r="M94" s="277">
        <f t="shared" ref="M94" si="262">ROUND(SUM(M92,M93),0)</f>
        <v>0</v>
      </c>
      <c r="N94" s="178"/>
      <c r="O94" s="237"/>
      <c r="P94" s="277">
        <f t="shared" ref="P94" si="263">ROUND(SUM(P92,P93),0)</f>
        <v>0</v>
      </c>
      <c r="Q94" s="178"/>
      <c r="R94" s="237"/>
      <c r="S94" s="277">
        <f t="shared" ref="S94" si="264">ROUND(SUM(S92,S93),0)</f>
        <v>28319656083</v>
      </c>
      <c r="T94" s="178"/>
      <c r="U94" s="237"/>
      <c r="V94" s="277">
        <f t="shared" ref="V94" si="265">ROUND(SUM(V92,V93),0)</f>
        <v>27118363164</v>
      </c>
      <c r="W94" s="178"/>
      <c r="X94" s="237"/>
      <c r="Y94" s="277">
        <f t="shared" ref="Y94" si="266">ROUND(SUM(Y92,Y93),0)</f>
        <v>0</v>
      </c>
      <c r="Z94" s="178"/>
      <c r="AA94" s="237"/>
      <c r="AB94" s="277">
        <f t="shared" ref="AB94" si="267">ROUND(SUM(AB92,AB93),0)</f>
        <v>28202234614</v>
      </c>
      <c r="AC94" s="178"/>
      <c r="AD94"/>
    </row>
    <row r="95" spans="1:30" s="40" customFormat="1" ht="36.75" customHeight="1" x14ac:dyDescent="0.2">
      <c r="A95" s="39"/>
      <c r="B95" s="347" t="s">
        <v>118</v>
      </c>
      <c r="C95" s="348"/>
      <c r="D95" s="348"/>
      <c r="E95" s="348"/>
      <c r="F95" s="348"/>
      <c r="G95" s="349"/>
      <c r="H95" s="250">
        <v>140000000</v>
      </c>
      <c r="I95" s="211" t="s">
        <v>90</v>
      </c>
      <c r="J95" s="233">
        <v>140000000</v>
      </c>
      <c r="K95" s="174" t="str">
        <f>+IF(J95&gt;0,IF(J95&lt;&gt;$H95,"NO VÁLIDA","VÁLIDA"),"NO VÁLIDA")</f>
        <v>VÁLIDA</v>
      </c>
      <c r="L95" s="211" t="s">
        <v>90</v>
      </c>
      <c r="M95" s="233"/>
      <c r="N95" s="174" t="str">
        <f t="shared" ref="N95" si="268">+IF(M95&gt;0,IF(M95&lt;&gt;$H95,"NO VÁLIDA","VÁLIDA"),"NO VÁLIDA")</f>
        <v>NO VÁLIDA</v>
      </c>
      <c r="O95" s="211" t="s">
        <v>90</v>
      </c>
      <c r="P95" s="233"/>
      <c r="Q95" s="174" t="str">
        <f t="shared" ref="Q95" si="269">+IF(P95&gt;0,IF(P95&lt;&gt;$H95,"NO VÁLIDA","VÁLIDA"),"NO VÁLIDA")</f>
        <v>NO VÁLIDA</v>
      </c>
      <c r="R95" s="211" t="s">
        <v>90</v>
      </c>
      <c r="S95" s="233">
        <v>140000000</v>
      </c>
      <c r="T95" s="174" t="str">
        <f t="shared" ref="T95" si="270">+IF(S95&gt;0,IF(S95&lt;&gt;$H95,"NO VÁLIDA","VÁLIDA"),"NO VÁLIDA")</f>
        <v>VÁLIDA</v>
      </c>
      <c r="U95" s="211" t="s">
        <v>90</v>
      </c>
      <c r="V95" s="233">
        <v>140000000</v>
      </c>
      <c r="W95" s="174" t="str">
        <f t="shared" ref="W95" si="271">+IF(V95&gt;0,IF(V95&lt;&gt;$H95,"NO VÁLIDA","VÁLIDA"),"NO VÁLIDA")</f>
        <v>VÁLIDA</v>
      </c>
      <c r="X95" s="211" t="s">
        <v>90</v>
      </c>
      <c r="Y95" s="233"/>
      <c r="Z95" s="174" t="str">
        <f t="shared" ref="Z95" si="272">+IF(Y95&gt;0,IF(Y95&lt;&gt;$H95,"NO VÁLIDA","VÁLIDA"),"NO VÁLIDA")</f>
        <v>NO VÁLIDA</v>
      </c>
      <c r="AA95" s="211" t="s">
        <v>90</v>
      </c>
      <c r="AB95" s="233">
        <v>140000000</v>
      </c>
      <c r="AC95" s="174" t="str">
        <f t="shared" ref="AC95" si="273">+IF(AB95&gt;0,IF(AB95&lt;&gt;$H95,"NO VÁLIDA","VÁLIDA"),"NO VÁLIDA")</f>
        <v>VÁLIDA</v>
      </c>
      <c r="AD95"/>
    </row>
    <row r="96" spans="1:30" s="40" customFormat="1" ht="36.75" customHeight="1" thickBot="1" x14ac:dyDescent="0.25">
      <c r="A96" s="39"/>
      <c r="B96" s="347" t="s">
        <v>264</v>
      </c>
      <c r="C96" s="348"/>
      <c r="D96" s="348"/>
      <c r="E96" s="348"/>
      <c r="F96" s="348"/>
      <c r="G96" s="349"/>
      <c r="H96" s="250">
        <v>644620000</v>
      </c>
      <c r="I96" s="211" t="s">
        <v>90</v>
      </c>
      <c r="J96" s="233">
        <v>644620000</v>
      </c>
      <c r="K96" s="174" t="str">
        <f>+IF(J96&gt;0,IF(J96&lt;&gt;$H96,"NO VÁLIDA","VÁLIDA"),"NO VÁLIDA")</f>
        <v>VÁLIDA</v>
      </c>
      <c r="L96" s="211" t="s">
        <v>90</v>
      </c>
      <c r="M96" s="233"/>
      <c r="N96" s="174" t="str">
        <f t="shared" ref="N96" si="274">+IF(M96&gt;0,IF(M96&lt;&gt;$H96,"NO VÁLIDA","VÁLIDA"),"NO VÁLIDA")</f>
        <v>NO VÁLIDA</v>
      </c>
      <c r="O96" s="211" t="s">
        <v>90</v>
      </c>
      <c r="P96" s="233"/>
      <c r="Q96" s="174" t="str">
        <f t="shared" ref="Q96" si="275">+IF(P96&gt;0,IF(P96&lt;&gt;$H96,"NO VÁLIDA","VÁLIDA"),"NO VÁLIDA")</f>
        <v>NO VÁLIDA</v>
      </c>
      <c r="R96" s="211" t="s">
        <v>90</v>
      </c>
      <c r="S96" s="233">
        <v>644620000</v>
      </c>
      <c r="T96" s="174" t="str">
        <f t="shared" ref="T96" si="276">+IF(S96&gt;0,IF(S96&lt;&gt;$H96,"NO VÁLIDA","VÁLIDA"),"NO VÁLIDA")</f>
        <v>VÁLIDA</v>
      </c>
      <c r="U96" s="211" t="s">
        <v>90</v>
      </c>
      <c r="V96" s="233">
        <v>644620000</v>
      </c>
      <c r="W96" s="174" t="str">
        <f t="shared" ref="W96" si="277">+IF(V96&gt;0,IF(V96&lt;&gt;$H96,"NO VÁLIDA","VÁLIDA"),"NO VÁLIDA")</f>
        <v>VÁLIDA</v>
      </c>
      <c r="X96" s="211" t="s">
        <v>90</v>
      </c>
      <c r="Y96" s="233"/>
      <c r="Z96" s="174" t="str">
        <f t="shared" ref="Z96" si="278">+IF(Y96&gt;0,IF(Y96&lt;&gt;$H96,"NO VÁLIDA","VÁLIDA"),"NO VÁLIDA")</f>
        <v>NO VÁLIDA</v>
      </c>
      <c r="AA96" s="211" t="s">
        <v>90</v>
      </c>
      <c r="AB96" s="233">
        <v>644620000</v>
      </c>
      <c r="AC96" s="174" t="str">
        <f t="shared" ref="AC96" si="279">+IF(AB96&gt;0,IF(AB96&lt;&gt;$H96,"NO VÁLIDA","VÁLIDA"),"NO VÁLIDA")</f>
        <v>VÁLIDA</v>
      </c>
      <c r="AD96"/>
    </row>
    <row r="97" spans="1:30" s="242" customFormat="1" ht="36.75" customHeight="1" thickBot="1" x14ac:dyDescent="0.25">
      <c r="A97" s="238"/>
      <c r="B97" s="270"/>
      <c r="C97" s="271"/>
      <c r="D97" s="272"/>
      <c r="E97" s="271"/>
      <c r="F97" s="273"/>
      <c r="G97" s="273" t="s">
        <v>265</v>
      </c>
      <c r="H97" s="274">
        <f>ROUND(SUM(H94:H96),0)</f>
        <v>29287109546</v>
      </c>
      <c r="I97" s="239"/>
      <c r="J97" s="279">
        <f>ROUND(SUM(J94:J96),0)</f>
        <v>29190377088</v>
      </c>
      <c r="K97" s="240"/>
      <c r="L97" s="239"/>
      <c r="M97" s="279">
        <f t="shared" ref="M97" si="280">ROUND(SUM(M94:M96),0)</f>
        <v>0</v>
      </c>
      <c r="N97" s="240"/>
      <c r="O97" s="239"/>
      <c r="P97" s="279">
        <f t="shared" ref="P97" si="281">ROUND(SUM(P94:P96),0)</f>
        <v>0</v>
      </c>
      <c r="Q97" s="240"/>
      <c r="R97" s="239"/>
      <c r="S97" s="279">
        <f t="shared" ref="S97" si="282">ROUND(SUM(S94:S96),0)</f>
        <v>29104276083</v>
      </c>
      <c r="T97" s="240"/>
      <c r="U97" s="239"/>
      <c r="V97" s="279">
        <f t="shared" ref="V97" si="283">ROUND(SUM(V94:V96),0)</f>
        <v>27902983164</v>
      </c>
      <c r="W97" s="240"/>
      <c r="X97" s="239"/>
      <c r="Y97" s="279">
        <f t="shared" ref="Y97" si="284">ROUND(SUM(Y94:Y96),0)</f>
        <v>0</v>
      </c>
      <c r="Z97" s="240"/>
      <c r="AA97" s="239"/>
      <c r="AB97" s="279">
        <f t="shared" ref="AB97" si="285">ROUND(SUM(AB94:AB96),0)</f>
        <v>28986854614</v>
      </c>
      <c r="AC97" s="240"/>
      <c r="AD97" s="241"/>
    </row>
    <row r="98" spans="1:30" s="40" customFormat="1" ht="36.75" customHeight="1" thickBot="1" x14ac:dyDescent="0.25">
      <c r="A98" s="39"/>
      <c r="B98" s="243" t="s">
        <v>263</v>
      </c>
      <c r="C98" s="179"/>
      <c r="D98" s="80"/>
      <c r="E98" s="180"/>
      <c r="F98" s="81"/>
      <c r="G98" s="81"/>
      <c r="H98" s="79">
        <f>ROUND(H97,0)</f>
        <v>29287109546</v>
      </c>
      <c r="I98" s="181"/>
      <c r="J98" s="182">
        <f>IF(I10="ADMISIBLE",IF(AND(K98="VÁLIDA",J97&lt;=$H$98,I100="",J97&gt;=$H$98*0.9),J97,"DESCARTADO"),I10)</f>
        <v>29190377088</v>
      </c>
      <c r="K98" s="174" t="str">
        <f>IF(COUNTIF(K15:K96,"NO VÁLIDA")&gt;0,"NO VÁLIDA","VÁLIDA")</f>
        <v>VÁLIDA</v>
      </c>
      <c r="L98" s="181"/>
      <c r="M98" s="182" t="str">
        <f t="shared" ref="M98" si="286">IF(L10="ADMISIBLE",IF(AND(N98="VÁLIDA",M97&lt;=$H$98,L100="",M97&gt;=$H$98*0.9),M97,"DESCARTADO"),L10)</f>
        <v>RECHAZO</v>
      </c>
      <c r="N98" s="174" t="str">
        <f t="shared" ref="N98" si="287">IF(COUNTIF(N15:N96,"NO VÁLIDA")&gt;0,"NO VÁLIDA","VÁLIDA")</f>
        <v>NO VÁLIDA</v>
      </c>
      <c r="O98" s="181"/>
      <c r="P98" s="182" t="str">
        <f t="shared" ref="P98" si="288">IF(O10="ADMISIBLE",IF(AND(Q98="VÁLIDA",P97&lt;=$H$98,O100="",P97&gt;=$H$98*0.9),P97,"DESCARTADO"),O10)</f>
        <v>RECHAZO</v>
      </c>
      <c r="Q98" s="174" t="str">
        <f t="shared" ref="Q98" si="289">IF(COUNTIF(Q15:Q96,"NO VÁLIDA")&gt;0,"NO VÁLIDA","VÁLIDA")</f>
        <v>NO VÁLIDA</v>
      </c>
      <c r="R98" s="181"/>
      <c r="S98" s="182">
        <f t="shared" ref="S98" si="290">IF(R10="ADMISIBLE",IF(AND(T98="VÁLIDA",S97&lt;=$H$98,R100="",S97&gt;=$H$98*0.9),S97,"DESCARTADO"),R10)</f>
        <v>29104276083</v>
      </c>
      <c r="T98" s="174" t="str">
        <f t="shared" ref="T98" si="291">IF(COUNTIF(T15:T96,"NO VÁLIDA")&gt;0,"NO VÁLIDA","VÁLIDA")</f>
        <v>VÁLIDA</v>
      </c>
      <c r="U98" s="181"/>
      <c r="V98" s="182" t="str">
        <f t="shared" ref="V98" si="292">IF(U10="ADMISIBLE",IF(AND(W98="VÁLIDA",V97&lt;=$H$98,U100="",V97&gt;=$H$98*0.9),V97,"DESCARTADO"),U10)</f>
        <v>DESCARTADO</v>
      </c>
      <c r="W98" s="174" t="str">
        <f t="shared" ref="W98" si="293">IF(COUNTIF(W15:W96,"NO VÁLIDA")&gt;0,"NO VÁLIDA","VÁLIDA")</f>
        <v>NO VÁLIDA</v>
      </c>
      <c r="X98" s="181"/>
      <c r="Y98" s="182" t="str">
        <f t="shared" ref="Y98" si="294">IF(X10="ADMISIBLE",IF(AND(Z98="VÁLIDA",Y97&lt;=$H$98,X100="",Y97&gt;=$H$98*0.9),Y97,"DESCARTADO"),X10)</f>
        <v>RECHAZO</v>
      </c>
      <c r="Z98" s="174" t="str">
        <f t="shared" ref="Z98" si="295">IF(COUNTIF(Z15:Z96,"NO VÁLIDA")&gt;0,"NO VÁLIDA","VÁLIDA")</f>
        <v>NO VÁLIDA</v>
      </c>
      <c r="AA98" s="181"/>
      <c r="AB98" s="182">
        <f t="shared" ref="AB98" si="296">IF(AA10="ADMISIBLE",IF(AND(AC98="VÁLIDA",AB97&lt;=$H$98,AA100="",AB97&gt;=$H$98*0.9),AB97,"DESCARTADO"),AA10)</f>
        <v>28986854614</v>
      </c>
      <c r="AC98" s="174" t="str">
        <f t="shared" ref="AC98" si="297">IF(COUNTIF(AC15:AC96,"NO VÁLIDA")&gt;0,"NO VÁLIDA","VÁLIDA")</f>
        <v>VÁLIDA</v>
      </c>
      <c r="AD98"/>
    </row>
    <row r="99" spans="1:30" s="9" customFormat="1" ht="19.5" thickTop="1" thickBot="1" x14ac:dyDescent="0.3">
      <c r="A99" s="22"/>
      <c r="B99" s="14"/>
      <c r="C99" s="14"/>
      <c r="D99" s="23"/>
      <c r="E99" s="23"/>
      <c r="F99" s="23"/>
      <c r="G99" s="28"/>
      <c r="H99" s="28"/>
      <c r="I99" s="356">
        <f>I11</f>
        <v>4</v>
      </c>
      <c r="J99" s="357"/>
      <c r="K99" s="358"/>
      <c r="L99" s="356">
        <f>L11</f>
        <v>8</v>
      </c>
      <c r="M99" s="357"/>
      <c r="N99" s="358"/>
      <c r="O99" s="356">
        <f>O11</f>
        <v>10</v>
      </c>
      <c r="P99" s="357"/>
      <c r="Q99" s="358"/>
      <c r="R99" s="356">
        <f>R11</f>
        <v>22</v>
      </c>
      <c r="S99" s="357"/>
      <c r="T99" s="358"/>
      <c r="U99" s="356">
        <f>U11</f>
        <v>26</v>
      </c>
      <c r="V99" s="357"/>
      <c r="W99" s="358"/>
      <c r="X99" s="356">
        <f>X11</f>
        <v>29</v>
      </c>
      <c r="Y99" s="357"/>
      <c r="Z99" s="358"/>
      <c r="AA99" s="356">
        <f>AA11</f>
        <v>31</v>
      </c>
      <c r="AB99" s="357"/>
      <c r="AC99" s="358"/>
      <c r="AD99"/>
    </row>
    <row r="100" spans="1:30" ht="18.75" customHeight="1" thickTop="1" x14ac:dyDescent="0.2">
      <c r="A100" s="11"/>
      <c r="D100" s="11"/>
      <c r="E100" s="11"/>
      <c r="F100" s="11"/>
      <c r="G100" s="29"/>
      <c r="H100" s="368" t="s">
        <v>37</v>
      </c>
      <c r="I100" s="359"/>
      <c r="J100" s="360"/>
      <c r="K100" s="361"/>
      <c r="L100" s="359"/>
      <c r="M100" s="360"/>
      <c r="N100" s="361"/>
      <c r="O100" s="359"/>
      <c r="P100" s="360"/>
      <c r="Q100" s="361"/>
      <c r="R100" s="359"/>
      <c r="S100" s="360"/>
      <c r="T100" s="361"/>
      <c r="U100" s="359" t="s">
        <v>275</v>
      </c>
      <c r="V100" s="360"/>
      <c r="W100" s="361"/>
      <c r="X100" s="359"/>
      <c r="Y100" s="360"/>
      <c r="Z100" s="361"/>
      <c r="AA100" s="359"/>
      <c r="AB100" s="360"/>
      <c r="AC100" s="361"/>
    </row>
    <row r="101" spans="1:30" ht="18.75" customHeight="1" x14ac:dyDescent="0.2">
      <c r="H101" s="369"/>
      <c r="I101" s="362"/>
      <c r="J101" s="363"/>
      <c r="K101" s="364"/>
      <c r="L101" s="362"/>
      <c r="M101" s="363"/>
      <c r="N101" s="364"/>
      <c r="O101" s="362"/>
      <c r="P101" s="363"/>
      <c r="Q101" s="364"/>
      <c r="R101" s="362"/>
      <c r="S101" s="363"/>
      <c r="T101" s="364"/>
      <c r="U101" s="362"/>
      <c r="V101" s="363"/>
      <c r="W101" s="364"/>
      <c r="X101" s="362"/>
      <c r="Y101" s="363"/>
      <c r="Z101" s="364"/>
      <c r="AA101" s="362"/>
      <c r="AB101" s="363"/>
      <c r="AC101" s="364"/>
    </row>
    <row r="102" spans="1:30" ht="18.75" customHeight="1" x14ac:dyDescent="0.2">
      <c r="H102" s="369"/>
      <c r="I102" s="362"/>
      <c r="J102" s="363"/>
      <c r="K102" s="364"/>
      <c r="L102" s="362"/>
      <c r="M102" s="363"/>
      <c r="N102" s="364"/>
      <c r="O102" s="362"/>
      <c r="P102" s="363"/>
      <c r="Q102" s="364"/>
      <c r="R102" s="362"/>
      <c r="S102" s="363"/>
      <c r="T102" s="364"/>
      <c r="U102" s="362"/>
      <c r="V102" s="363"/>
      <c r="W102" s="364"/>
      <c r="X102" s="362"/>
      <c r="Y102" s="363"/>
      <c r="Z102" s="364"/>
      <c r="AA102" s="362"/>
      <c r="AB102" s="363"/>
      <c r="AC102" s="364"/>
    </row>
    <row r="103" spans="1:30" ht="18.75" customHeight="1" thickBot="1" x14ac:dyDescent="0.25">
      <c r="H103" s="370"/>
      <c r="I103" s="365"/>
      <c r="J103" s="366"/>
      <c r="K103" s="367"/>
      <c r="L103" s="365"/>
      <c r="M103" s="366"/>
      <c r="N103" s="367"/>
      <c r="O103" s="365"/>
      <c r="P103" s="366"/>
      <c r="Q103" s="367"/>
      <c r="R103" s="365"/>
      <c r="S103" s="366"/>
      <c r="T103" s="367"/>
      <c r="U103" s="365"/>
      <c r="V103" s="366"/>
      <c r="W103" s="367"/>
      <c r="X103" s="365"/>
      <c r="Y103" s="366"/>
      <c r="Z103" s="367"/>
      <c r="AA103" s="365"/>
      <c r="AB103" s="366"/>
      <c r="AC103" s="367"/>
    </row>
    <row r="104" spans="1:30" ht="18.75" customHeight="1" thickTop="1" x14ac:dyDescent="0.2">
      <c r="B104" s="2"/>
      <c r="C104" s="2"/>
      <c r="G104" s="2"/>
      <c r="H104" s="368" t="s">
        <v>82</v>
      </c>
      <c r="I104" s="359" t="s">
        <v>273</v>
      </c>
      <c r="J104" s="360"/>
      <c r="K104" s="361"/>
      <c r="L104" s="359"/>
      <c r="M104" s="360"/>
      <c r="N104" s="361"/>
      <c r="O104" s="359"/>
      <c r="P104" s="360"/>
      <c r="Q104" s="361"/>
      <c r="R104" s="359" t="s">
        <v>274</v>
      </c>
      <c r="S104" s="360"/>
      <c r="T104" s="361"/>
      <c r="U104" s="359"/>
      <c r="V104" s="360"/>
      <c r="W104" s="361"/>
      <c r="X104" s="359"/>
      <c r="Y104" s="360"/>
      <c r="Z104" s="361"/>
      <c r="AA104" s="359" t="s">
        <v>276</v>
      </c>
      <c r="AB104" s="360"/>
      <c r="AC104" s="361"/>
    </row>
    <row r="105" spans="1:30" ht="18.75" customHeight="1" x14ac:dyDescent="0.2">
      <c r="H105" s="369"/>
      <c r="I105" s="362"/>
      <c r="J105" s="363"/>
      <c r="K105" s="364"/>
      <c r="L105" s="362"/>
      <c r="M105" s="363"/>
      <c r="N105" s="364"/>
      <c r="O105" s="362"/>
      <c r="P105" s="363"/>
      <c r="Q105" s="364"/>
      <c r="R105" s="362"/>
      <c r="S105" s="363"/>
      <c r="T105" s="364"/>
      <c r="U105" s="362"/>
      <c r="V105" s="363"/>
      <c r="W105" s="364"/>
      <c r="X105" s="362"/>
      <c r="Y105" s="363"/>
      <c r="Z105" s="364"/>
      <c r="AA105" s="362"/>
      <c r="AB105" s="363"/>
      <c r="AC105" s="364"/>
    </row>
    <row r="106" spans="1:30" ht="18.75" customHeight="1" x14ac:dyDescent="0.2">
      <c r="H106" s="369"/>
      <c r="I106" s="362"/>
      <c r="J106" s="363"/>
      <c r="K106" s="364"/>
      <c r="L106" s="362"/>
      <c r="M106" s="363"/>
      <c r="N106" s="364"/>
      <c r="O106" s="362"/>
      <c r="P106" s="363"/>
      <c r="Q106" s="364"/>
      <c r="R106" s="362"/>
      <c r="S106" s="363"/>
      <c r="T106" s="364"/>
      <c r="U106" s="362"/>
      <c r="V106" s="363"/>
      <c r="W106" s="364"/>
      <c r="X106" s="362"/>
      <c r="Y106" s="363"/>
      <c r="Z106" s="364"/>
      <c r="AA106" s="362"/>
      <c r="AB106" s="363"/>
      <c r="AC106" s="364"/>
    </row>
    <row r="107" spans="1:30" ht="18.75" customHeight="1" thickBot="1" x14ac:dyDescent="0.25">
      <c r="B107" s="2"/>
      <c r="C107" s="2"/>
      <c r="G107" s="2"/>
      <c r="H107" s="370"/>
      <c r="I107" s="365"/>
      <c r="J107" s="366"/>
      <c r="K107" s="367"/>
      <c r="L107" s="365"/>
      <c r="M107" s="366"/>
      <c r="N107" s="367"/>
      <c r="O107" s="365"/>
      <c r="P107" s="366"/>
      <c r="Q107" s="367"/>
      <c r="R107" s="365"/>
      <c r="S107" s="366"/>
      <c r="T107" s="367"/>
      <c r="U107" s="365"/>
      <c r="V107" s="366"/>
      <c r="W107" s="367"/>
      <c r="X107" s="365"/>
      <c r="Y107" s="366"/>
      <c r="Z107" s="367"/>
      <c r="AA107" s="365"/>
      <c r="AB107" s="366"/>
      <c r="AC107" s="367"/>
    </row>
    <row r="108" spans="1:30" s="193" customFormat="1" ht="13.5" thickTop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/>
    </row>
    <row r="109" spans="1:30" x14ac:dyDescent="0.2">
      <c r="L109" s="12"/>
      <c r="M109" s="12"/>
      <c r="N109" s="16"/>
      <c r="O109" s="12"/>
      <c r="P109" s="12"/>
      <c r="Q109" s="16"/>
      <c r="R109" s="12"/>
      <c r="S109" s="12"/>
      <c r="T109" s="16"/>
      <c r="U109" s="12"/>
      <c r="V109" s="12"/>
      <c r="W109" s="16"/>
      <c r="X109" s="12"/>
      <c r="Y109" s="12"/>
      <c r="Z109" s="16"/>
      <c r="AA109" s="12"/>
      <c r="AB109" s="12"/>
      <c r="AC109" s="16"/>
    </row>
    <row r="110" spans="1:30" x14ac:dyDescent="0.2">
      <c r="L110" s="12"/>
      <c r="M110" s="12"/>
      <c r="N110" s="16"/>
      <c r="O110" s="12"/>
      <c r="P110" s="12"/>
      <c r="Q110" s="16"/>
      <c r="R110" s="12"/>
      <c r="S110" s="12"/>
      <c r="T110" s="16"/>
      <c r="U110" s="12"/>
      <c r="V110" s="12"/>
      <c r="W110" s="16"/>
      <c r="X110" s="12"/>
      <c r="Y110" s="12"/>
      <c r="Z110" s="16"/>
      <c r="AA110" s="12"/>
      <c r="AB110" s="12"/>
      <c r="AC110" s="16"/>
    </row>
    <row r="111" spans="1:30" x14ac:dyDescent="0.2">
      <c r="J111" s="214"/>
      <c r="L111" s="12"/>
      <c r="M111" s="12"/>
      <c r="N111" s="16"/>
      <c r="O111" s="12"/>
      <c r="P111" s="12"/>
      <c r="Q111" s="16"/>
      <c r="R111" s="12"/>
      <c r="S111" s="12"/>
      <c r="T111" s="16"/>
      <c r="U111" s="12"/>
      <c r="V111" s="12"/>
      <c r="W111" s="16"/>
      <c r="X111" s="12"/>
      <c r="Y111" s="12"/>
      <c r="Z111" s="16"/>
      <c r="AA111" s="12"/>
      <c r="AB111" s="12"/>
      <c r="AC111" s="16"/>
    </row>
    <row r="112" spans="1:30" x14ac:dyDescent="0.2">
      <c r="L112" s="12"/>
      <c r="M112" s="12"/>
      <c r="N112" s="16"/>
      <c r="O112" s="12"/>
      <c r="P112" s="12"/>
      <c r="Q112" s="16"/>
      <c r="R112" s="12"/>
      <c r="S112" s="12"/>
      <c r="T112" s="16"/>
      <c r="U112" s="12"/>
      <c r="V112" s="12"/>
      <c r="W112" s="16"/>
      <c r="X112" s="12"/>
      <c r="Y112" s="12"/>
      <c r="Z112" s="16"/>
      <c r="AA112" s="12"/>
      <c r="AB112" s="12"/>
      <c r="AC112" s="16"/>
    </row>
    <row r="113" spans="12:29" x14ac:dyDescent="0.2">
      <c r="L113" s="12"/>
      <c r="M113" s="12"/>
      <c r="N113" s="16"/>
      <c r="O113" s="12"/>
      <c r="P113" s="12"/>
      <c r="Q113" s="16"/>
      <c r="R113" s="12"/>
      <c r="S113" s="12"/>
      <c r="T113" s="16"/>
      <c r="U113" s="12"/>
      <c r="V113" s="12"/>
      <c r="W113" s="16"/>
      <c r="X113" s="12"/>
      <c r="Y113" s="12"/>
      <c r="Z113" s="16"/>
      <c r="AA113" s="12"/>
      <c r="AB113" s="12"/>
      <c r="AC113" s="16"/>
    </row>
    <row r="114" spans="12:29" x14ac:dyDescent="0.2">
      <c r="L114" s="12"/>
      <c r="M114" s="12"/>
      <c r="N114" s="16"/>
      <c r="O114" s="12"/>
      <c r="P114" s="12"/>
      <c r="Q114" s="16"/>
      <c r="R114" s="12"/>
      <c r="S114" s="12"/>
      <c r="T114" s="16"/>
      <c r="U114" s="12"/>
      <c r="V114" s="12"/>
      <c r="W114" s="16"/>
      <c r="X114" s="12"/>
      <c r="Y114" s="12"/>
      <c r="Z114" s="16"/>
      <c r="AA114" s="12"/>
      <c r="AB114" s="12"/>
      <c r="AC114" s="16"/>
    </row>
    <row r="115" spans="12:29" x14ac:dyDescent="0.2">
      <c r="L115" s="12"/>
      <c r="M115" s="12"/>
      <c r="N115" s="16"/>
      <c r="O115" s="12"/>
      <c r="P115" s="12"/>
      <c r="Q115" s="16"/>
      <c r="R115" s="12"/>
      <c r="S115" s="12"/>
      <c r="T115" s="16"/>
      <c r="U115" s="12"/>
      <c r="V115" s="12"/>
      <c r="W115" s="16"/>
      <c r="X115" s="12"/>
      <c r="Y115" s="12"/>
      <c r="Z115" s="16"/>
      <c r="AA115" s="12"/>
      <c r="AB115" s="12"/>
      <c r="AC115" s="16"/>
    </row>
    <row r="116" spans="12:29" x14ac:dyDescent="0.2">
      <c r="L116" s="12"/>
      <c r="M116" s="12"/>
      <c r="N116" s="16"/>
      <c r="O116" s="12"/>
      <c r="P116" s="12"/>
      <c r="Q116" s="16"/>
      <c r="R116" s="12"/>
      <c r="S116" s="12"/>
      <c r="T116" s="16"/>
      <c r="U116" s="12"/>
      <c r="V116" s="12"/>
      <c r="W116" s="16"/>
      <c r="X116" s="12"/>
      <c r="Y116" s="12"/>
      <c r="Z116" s="16"/>
      <c r="AA116" s="12"/>
      <c r="AB116" s="12"/>
      <c r="AC116" s="16"/>
    </row>
    <row r="117" spans="12:29" x14ac:dyDescent="0.2">
      <c r="L117" s="12"/>
      <c r="M117" s="12"/>
      <c r="N117" s="16"/>
      <c r="O117" s="12"/>
      <c r="P117" s="12"/>
      <c r="Q117" s="16"/>
      <c r="R117" s="12"/>
      <c r="S117" s="12"/>
      <c r="T117" s="16"/>
      <c r="U117" s="12"/>
      <c r="V117" s="12"/>
      <c r="W117" s="16"/>
      <c r="X117" s="12"/>
      <c r="Y117" s="12"/>
      <c r="Z117" s="16"/>
      <c r="AA117" s="12"/>
      <c r="AB117" s="12"/>
      <c r="AC117" s="16"/>
    </row>
    <row r="118" spans="12:29" x14ac:dyDescent="0.2">
      <c r="L118" s="12"/>
      <c r="M118" s="12"/>
      <c r="N118" s="16"/>
      <c r="O118" s="12"/>
      <c r="P118" s="12"/>
      <c r="Q118" s="16"/>
      <c r="R118" s="12"/>
      <c r="S118" s="12"/>
      <c r="T118" s="16"/>
      <c r="U118" s="12"/>
      <c r="V118" s="12"/>
      <c r="W118" s="16"/>
      <c r="X118" s="12"/>
      <c r="Y118" s="12"/>
      <c r="Z118" s="16"/>
      <c r="AA118" s="12"/>
      <c r="AB118" s="12"/>
      <c r="AC118" s="16"/>
    </row>
    <row r="119" spans="12:29" x14ac:dyDescent="0.2">
      <c r="L119" s="12"/>
      <c r="M119" s="12"/>
      <c r="N119" s="16"/>
      <c r="O119" s="12"/>
      <c r="P119" s="12"/>
      <c r="Q119" s="16"/>
      <c r="R119" s="12"/>
      <c r="S119" s="12"/>
      <c r="T119" s="16"/>
      <c r="U119" s="12"/>
      <c r="V119" s="12"/>
      <c r="W119" s="16"/>
      <c r="X119" s="12"/>
      <c r="Y119" s="12"/>
      <c r="Z119" s="16"/>
      <c r="AA119" s="12"/>
      <c r="AB119" s="12"/>
      <c r="AC119" s="16"/>
    </row>
    <row r="120" spans="12:29" x14ac:dyDescent="0.2">
      <c r="L120" s="12"/>
      <c r="M120" s="12"/>
      <c r="N120" s="16"/>
      <c r="O120" s="12"/>
      <c r="P120" s="12"/>
      <c r="Q120" s="16"/>
      <c r="R120" s="12"/>
      <c r="S120" s="12"/>
      <c r="T120" s="16"/>
      <c r="U120" s="12"/>
      <c r="V120" s="12"/>
      <c r="W120" s="16"/>
      <c r="X120" s="12"/>
      <c r="Y120" s="12"/>
      <c r="Z120" s="16"/>
      <c r="AA120" s="12"/>
      <c r="AB120" s="12"/>
      <c r="AC120" s="16"/>
    </row>
    <row r="121" spans="12:29" x14ac:dyDescent="0.2">
      <c r="L121" s="12"/>
      <c r="M121" s="12"/>
      <c r="N121" s="16"/>
      <c r="O121" s="12"/>
      <c r="P121" s="12"/>
      <c r="Q121" s="16"/>
      <c r="R121" s="12"/>
      <c r="S121" s="12"/>
      <c r="T121" s="16"/>
      <c r="U121" s="12"/>
      <c r="V121" s="12"/>
      <c r="W121" s="16"/>
      <c r="X121" s="12"/>
      <c r="Y121" s="12"/>
      <c r="Z121" s="16"/>
      <c r="AA121" s="12"/>
      <c r="AB121" s="12"/>
      <c r="AC121" s="16"/>
    </row>
    <row r="122" spans="12:29" x14ac:dyDescent="0.2">
      <c r="L122" s="12"/>
      <c r="M122" s="12"/>
      <c r="N122" s="16"/>
      <c r="O122" s="12"/>
      <c r="P122" s="12"/>
      <c r="Q122" s="16"/>
      <c r="R122" s="12"/>
      <c r="S122" s="12"/>
      <c r="T122" s="16"/>
      <c r="U122" s="12"/>
      <c r="V122" s="12"/>
      <c r="W122" s="16"/>
      <c r="X122" s="12"/>
      <c r="Y122" s="12"/>
      <c r="Z122" s="16"/>
      <c r="AA122" s="12"/>
      <c r="AB122" s="12"/>
      <c r="AC122" s="16"/>
    </row>
    <row r="123" spans="12:29" x14ac:dyDescent="0.2">
      <c r="L123" s="12"/>
      <c r="M123" s="12"/>
      <c r="N123" s="16"/>
      <c r="O123" s="12"/>
      <c r="P123" s="12"/>
      <c r="Q123" s="16"/>
      <c r="R123" s="12"/>
      <c r="S123" s="12"/>
      <c r="T123" s="16"/>
      <c r="U123" s="12"/>
      <c r="V123" s="12"/>
      <c r="W123" s="16"/>
      <c r="X123" s="12"/>
      <c r="Y123" s="12"/>
      <c r="Z123" s="16"/>
      <c r="AA123" s="12"/>
      <c r="AB123" s="12"/>
      <c r="AC123" s="16"/>
    </row>
    <row r="124" spans="12:29" x14ac:dyDescent="0.2">
      <c r="L124" s="12"/>
      <c r="M124" s="12"/>
      <c r="N124" s="16"/>
      <c r="O124" s="12"/>
      <c r="P124" s="12"/>
      <c r="Q124" s="16"/>
      <c r="R124" s="12"/>
      <c r="S124" s="12"/>
      <c r="T124" s="16"/>
      <c r="U124" s="12"/>
      <c r="V124" s="12"/>
      <c r="W124" s="16"/>
      <c r="X124" s="12"/>
      <c r="Y124" s="12"/>
      <c r="Z124" s="16"/>
      <c r="AA124" s="12"/>
      <c r="AB124" s="12"/>
      <c r="AC124" s="16"/>
    </row>
    <row r="125" spans="12:29" x14ac:dyDescent="0.2">
      <c r="L125" s="12"/>
      <c r="M125" s="12"/>
      <c r="N125" s="16"/>
      <c r="O125" s="12"/>
      <c r="P125" s="12"/>
      <c r="Q125" s="16"/>
      <c r="R125" s="12"/>
      <c r="S125" s="12"/>
      <c r="T125" s="16"/>
      <c r="U125" s="12"/>
      <c r="V125" s="12"/>
      <c r="W125" s="16"/>
      <c r="X125" s="12"/>
      <c r="Y125" s="12"/>
      <c r="Z125" s="16"/>
      <c r="AA125" s="12"/>
      <c r="AB125" s="12"/>
      <c r="AC125" s="16"/>
    </row>
    <row r="126" spans="12:29" x14ac:dyDescent="0.2">
      <c r="L126" s="12"/>
      <c r="M126" s="12"/>
      <c r="N126" s="16"/>
      <c r="O126" s="12"/>
      <c r="P126" s="12"/>
      <c r="Q126" s="16"/>
      <c r="R126" s="12"/>
      <c r="S126" s="12"/>
      <c r="T126" s="16"/>
      <c r="U126" s="12"/>
      <c r="V126" s="12"/>
      <c r="W126" s="16"/>
      <c r="X126" s="12"/>
      <c r="Y126" s="12"/>
      <c r="Z126" s="16"/>
      <c r="AA126" s="12"/>
      <c r="AB126" s="12"/>
      <c r="AC126" s="16"/>
    </row>
    <row r="127" spans="12:29" x14ac:dyDescent="0.2">
      <c r="L127" s="12"/>
      <c r="M127" s="12"/>
      <c r="N127" s="16"/>
      <c r="O127" s="12"/>
      <c r="P127" s="12"/>
      <c r="Q127" s="16"/>
      <c r="R127" s="12"/>
      <c r="S127" s="12"/>
      <c r="T127" s="16"/>
      <c r="U127" s="12"/>
      <c r="V127" s="12"/>
      <c r="W127" s="16"/>
      <c r="X127" s="12"/>
      <c r="Y127" s="12"/>
      <c r="Z127" s="16"/>
      <c r="AA127" s="12"/>
      <c r="AB127" s="12"/>
      <c r="AC127" s="16"/>
    </row>
    <row r="128" spans="12:29" x14ac:dyDescent="0.2">
      <c r="L128" s="12"/>
      <c r="M128" s="12"/>
      <c r="N128" s="16"/>
      <c r="O128" s="12"/>
      <c r="P128" s="12"/>
      <c r="Q128" s="16"/>
      <c r="R128" s="12"/>
      <c r="S128" s="12"/>
      <c r="T128" s="16"/>
      <c r="U128" s="12"/>
      <c r="V128" s="12"/>
      <c r="W128" s="16"/>
      <c r="X128" s="12"/>
      <c r="Y128" s="12"/>
      <c r="Z128" s="16"/>
      <c r="AA128" s="12"/>
      <c r="AB128" s="12"/>
      <c r="AC128" s="16"/>
    </row>
    <row r="129" spans="12:29" x14ac:dyDescent="0.2">
      <c r="L129" s="12"/>
      <c r="M129" s="12"/>
      <c r="N129" s="16"/>
      <c r="O129" s="12"/>
      <c r="P129" s="12"/>
      <c r="Q129" s="16"/>
      <c r="R129" s="12"/>
      <c r="S129" s="12"/>
      <c r="T129" s="16"/>
      <c r="U129" s="12"/>
      <c r="V129" s="12"/>
      <c r="W129" s="16"/>
      <c r="X129" s="12"/>
      <c r="Y129" s="12"/>
      <c r="Z129" s="16"/>
      <c r="AA129" s="12"/>
      <c r="AB129" s="12"/>
      <c r="AC129" s="16"/>
    </row>
    <row r="130" spans="12:29" x14ac:dyDescent="0.2">
      <c r="L130" s="12"/>
      <c r="M130" s="12"/>
      <c r="N130" s="16"/>
      <c r="O130" s="12"/>
      <c r="P130" s="12"/>
      <c r="Q130" s="16"/>
      <c r="R130" s="12"/>
      <c r="S130" s="12"/>
      <c r="T130" s="16"/>
      <c r="U130" s="12"/>
      <c r="V130" s="12"/>
      <c r="W130" s="16"/>
      <c r="X130" s="12"/>
      <c r="Y130" s="12"/>
      <c r="Z130" s="16"/>
      <c r="AA130" s="12"/>
      <c r="AB130" s="12"/>
      <c r="AC130" s="16"/>
    </row>
    <row r="131" spans="12:29" x14ac:dyDescent="0.2">
      <c r="L131" s="12"/>
      <c r="M131" s="12"/>
      <c r="N131" s="16"/>
      <c r="O131" s="12"/>
      <c r="P131" s="12"/>
      <c r="Q131" s="16"/>
      <c r="R131" s="12"/>
      <c r="S131" s="12"/>
      <c r="T131" s="16"/>
      <c r="U131" s="12"/>
      <c r="V131" s="12"/>
      <c r="W131" s="16"/>
      <c r="X131" s="12"/>
      <c r="Y131" s="12"/>
      <c r="Z131" s="16"/>
      <c r="AA131" s="12"/>
      <c r="AB131" s="12"/>
      <c r="AC131" s="16"/>
    </row>
    <row r="132" spans="12:29" x14ac:dyDescent="0.2">
      <c r="L132" s="12"/>
      <c r="M132" s="12"/>
      <c r="N132" s="16"/>
      <c r="O132" s="12"/>
      <c r="P132" s="12"/>
      <c r="Q132" s="16"/>
      <c r="R132" s="12"/>
      <c r="S132" s="12"/>
      <c r="T132" s="16"/>
      <c r="U132" s="12"/>
      <c r="V132" s="12"/>
      <c r="W132" s="16"/>
      <c r="X132" s="12"/>
      <c r="Y132" s="12"/>
      <c r="Z132" s="16"/>
      <c r="AA132" s="12"/>
      <c r="AB132" s="12"/>
      <c r="AC132" s="16"/>
    </row>
    <row r="133" spans="12:29" x14ac:dyDescent="0.2">
      <c r="L133" s="12"/>
      <c r="M133" s="12"/>
      <c r="N133" s="16"/>
      <c r="O133" s="12"/>
      <c r="P133" s="12"/>
      <c r="Q133" s="16"/>
      <c r="R133" s="12"/>
      <c r="S133" s="12"/>
      <c r="T133" s="16"/>
      <c r="U133" s="12"/>
      <c r="V133" s="12"/>
      <c r="W133" s="16"/>
      <c r="X133" s="12"/>
      <c r="Y133" s="12"/>
      <c r="Z133" s="16"/>
      <c r="AA133" s="12"/>
      <c r="AB133" s="12"/>
      <c r="AC133" s="16"/>
    </row>
    <row r="134" spans="12:29" x14ac:dyDescent="0.2">
      <c r="L134" s="12"/>
      <c r="M134" s="12"/>
      <c r="N134" s="16"/>
      <c r="O134" s="12"/>
      <c r="P134" s="12"/>
      <c r="Q134" s="16"/>
      <c r="R134" s="12"/>
      <c r="S134" s="12"/>
      <c r="T134" s="16"/>
      <c r="U134" s="12"/>
      <c r="V134" s="12"/>
      <c r="W134" s="16"/>
      <c r="X134" s="12"/>
      <c r="Y134" s="12"/>
      <c r="Z134" s="16"/>
      <c r="AA134" s="12"/>
      <c r="AB134" s="12"/>
      <c r="AC134" s="16"/>
    </row>
    <row r="135" spans="12:29" x14ac:dyDescent="0.2">
      <c r="L135" s="12"/>
      <c r="M135" s="12"/>
      <c r="N135" s="16"/>
      <c r="O135" s="12"/>
      <c r="P135" s="12"/>
      <c r="Q135" s="16"/>
      <c r="R135" s="12"/>
      <c r="S135" s="12"/>
      <c r="T135" s="16"/>
      <c r="U135" s="12"/>
      <c r="V135" s="12"/>
      <c r="W135" s="16"/>
      <c r="X135" s="12"/>
      <c r="Y135" s="12"/>
      <c r="Z135" s="16"/>
      <c r="AA135" s="12"/>
      <c r="AB135" s="12"/>
      <c r="AC135" s="16"/>
    </row>
    <row r="136" spans="12:29" x14ac:dyDescent="0.2">
      <c r="L136" s="12"/>
      <c r="M136" s="12"/>
      <c r="N136" s="16"/>
      <c r="O136" s="12"/>
      <c r="P136" s="12"/>
      <c r="Q136" s="16"/>
      <c r="R136" s="12"/>
      <c r="S136" s="12"/>
      <c r="T136" s="16"/>
      <c r="U136" s="12"/>
      <c r="V136" s="12"/>
      <c r="W136" s="16"/>
      <c r="X136" s="12"/>
      <c r="Y136" s="12"/>
      <c r="Z136" s="16"/>
      <c r="AA136" s="12"/>
      <c r="AB136" s="12"/>
      <c r="AC136" s="16"/>
    </row>
    <row r="137" spans="12:29" x14ac:dyDescent="0.2">
      <c r="L137" s="12"/>
      <c r="M137" s="12"/>
      <c r="N137" s="16"/>
      <c r="O137" s="12"/>
      <c r="P137" s="12"/>
      <c r="Q137" s="16"/>
      <c r="R137" s="12"/>
      <c r="S137" s="12"/>
      <c r="T137" s="16"/>
      <c r="U137" s="12"/>
      <c r="V137" s="12"/>
      <c r="W137" s="16"/>
      <c r="X137" s="12"/>
      <c r="Y137" s="12"/>
      <c r="Z137" s="16"/>
      <c r="AA137" s="12"/>
      <c r="AB137" s="12"/>
      <c r="AC137" s="16"/>
    </row>
    <row r="138" spans="12:29" x14ac:dyDescent="0.2">
      <c r="L138" s="12"/>
      <c r="M138" s="12"/>
      <c r="N138" s="16"/>
      <c r="O138" s="12"/>
      <c r="P138" s="12"/>
      <c r="Q138" s="16"/>
      <c r="R138" s="12"/>
      <c r="S138" s="12"/>
      <c r="T138" s="16"/>
      <c r="U138" s="12"/>
      <c r="V138" s="12"/>
      <c r="W138" s="16"/>
      <c r="X138" s="12"/>
      <c r="Y138" s="12"/>
      <c r="Z138" s="16"/>
      <c r="AA138" s="12"/>
      <c r="AB138" s="12"/>
      <c r="AC138" s="16"/>
    </row>
    <row r="139" spans="12:29" x14ac:dyDescent="0.2">
      <c r="L139" s="12"/>
      <c r="M139" s="12"/>
      <c r="N139" s="16"/>
      <c r="O139" s="12"/>
      <c r="P139" s="12"/>
      <c r="Q139" s="16"/>
      <c r="R139" s="12"/>
      <c r="S139" s="12"/>
      <c r="T139" s="16"/>
      <c r="U139" s="12"/>
      <c r="V139" s="12"/>
      <c r="W139" s="16"/>
      <c r="X139" s="12"/>
      <c r="Y139" s="12"/>
      <c r="Z139" s="16"/>
      <c r="AA139" s="12"/>
      <c r="AB139" s="12"/>
      <c r="AC139" s="16"/>
    </row>
    <row r="140" spans="12:29" x14ac:dyDescent="0.2">
      <c r="L140" s="12"/>
      <c r="M140" s="12"/>
      <c r="N140" s="16"/>
      <c r="O140" s="12"/>
      <c r="P140" s="12"/>
      <c r="Q140" s="16"/>
      <c r="R140" s="12"/>
      <c r="S140" s="12"/>
      <c r="T140" s="16"/>
      <c r="U140" s="12"/>
      <c r="V140" s="12"/>
      <c r="W140" s="16"/>
      <c r="X140" s="12"/>
      <c r="Y140" s="12"/>
      <c r="Z140" s="16"/>
      <c r="AA140" s="12"/>
      <c r="AB140" s="12"/>
      <c r="AC140" s="16"/>
    </row>
    <row r="141" spans="12:29" x14ac:dyDescent="0.2">
      <c r="L141" s="12"/>
      <c r="M141" s="12"/>
      <c r="N141" s="16"/>
      <c r="O141" s="12"/>
      <c r="P141" s="12"/>
      <c r="Q141" s="16"/>
      <c r="R141" s="12"/>
      <c r="S141" s="12"/>
      <c r="T141" s="16"/>
      <c r="U141" s="12"/>
      <c r="V141" s="12"/>
      <c r="W141" s="16"/>
      <c r="X141" s="12"/>
      <c r="Y141" s="12"/>
      <c r="Z141" s="16"/>
      <c r="AA141" s="12"/>
      <c r="AB141" s="12"/>
      <c r="AC141" s="16"/>
    </row>
    <row r="142" spans="12:29" x14ac:dyDescent="0.2">
      <c r="L142" s="12"/>
      <c r="M142" s="12"/>
      <c r="N142" s="16"/>
      <c r="O142" s="12"/>
      <c r="P142" s="12"/>
      <c r="Q142" s="16"/>
      <c r="R142" s="12"/>
      <c r="S142" s="12"/>
      <c r="T142" s="16"/>
      <c r="U142" s="12"/>
      <c r="V142" s="12"/>
      <c r="W142" s="16"/>
      <c r="X142" s="12"/>
      <c r="Y142" s="12"/>
      <c r="Z142" s="16"/>
      <c r="AA142" s="12"/>
      <c r="AB142" s="12"/>
      <c r="AC142" s="16"/>
    </row>
    <row r="143" spans="12:29" x14ac:dyDescent="0.2">
      <c r="L143" s="12"/>
      <c r="M143" s="12"/>
      <c r="N143" s="16"/>
      <c r="O143" s="12"/>
      <c r="P143" s="12"/>
      <c r="Q143" s="16"/>
      <c r="R143" s="12"/>
      <c r="S143" s="12"/>
      <c r="T143" s="16"/>
      <c r="U143" s="12"/>
      <c r="V143" s="12"/>
      <c r="W143" s="16"/>
      <c r="X143" s="12"/>
      <c r="Y143" s="12"/>
      <c r="Z143" s="16"/>
      <c r="AA143" s="12"/>
      <c r="AB143" s="12"/>
      <c r="AC143" s="16"/>
    </row>
    <row r="144" spans="12:29" x14ac:dyDescent="0.2">
      <c r="L144" s="12"/>
      <c r="M144" s="12"/>
      <c r="N144" s="16"/>
      <c r="O144" s="12"/>
      <c r="P144" s="12"/>
      <c r="Q144" s="16"/>
      <c r="R144" s="12"/>
      <c r="S144" s="12"/>
      <c r="T144" s="16"/>
      <c r="U144" s="12"/>
      <c r="V144" s="12"/>
      <c r="W144" s="16"/>
      <c r="X144" s="12"/>
      <c r="Y144" s="12"/>
      <c r="Z144" s="16"/>
      <c r="AA144" s="12"/>
      <c r="AB144" s="12"/>
      <c r="AC144" s="16"/>
    </row>
    <row r="145" spans="12:29" x14ac:dyDescent="0.2">
      <c r="L145" s="12"/>
      <c r="M145" s="12"/>
      <c r="N145" s="16"/>
      <c r="O145" s="12"/>
      <c r="P145" s="12"/>
      <c r="Q145" s="16"/>
      <c r="R145" s="12"/>
      <c r="S145" s="12"/>
      <c r="T145" s="16"/>
      <c r="U145" s="12"/>
      <c r="V145" s="12"/>
      <c r="W145" s="16"/>
      <c r="X145" s="12"/>
      <c r="Y145" s="12"/>
      <c r="Z145" s="16"/>
      <c r="AA145" s="12"/>
      <c r="AB145" s="12"/>
      <c r="AC145" s="16"/>
    </row>
    <row r="146" spans="12:29" x14ac:dyDescent="0.2">
      <c r="L146" s="12"/>
      <c r="M146" s="12"/>
      <c r="N146" s="16"/>
      <c r="O146" s="12"/>
      <c r="P146" s="12"/>
      <c r="Q146" s="16"/>
      <c r="R146" s="12"/>
      <c r="S146" s="12"/>
      <c r="T146" s="16"/>
      <c r="U146" s="12"/>
      <c r="V146" s="12"/>
      <c r="W146" s="16"/>
      <c r="X146" s="12"/>
      <c r="Y146" s="12"/>
      <c r="Z146" s="16"/>
      <c r="AA146" s="12"/>
      <c r="AB146" s="12"/>
      <c r="AC146" s="16"/>
    </row>
    <row r="147" spans="12:29" x14ac:dyDescent="0.2">
      <c r="L147" s="12"/>
      <c r="M147" s="12"/>
      <c r="N147" s="16"/>
      <c r="O147" s="12"/>
      <c r="P147" s="12"/>
      <c r="Q147" s="16"/>
      <c r="R147" s="12"/>
      <c r="S147" s="12"/>
      <c r="T147" s="16"/>
      <c r="U147" s="12"/>
      <c r="V147" s="12"/>
      <c r="W147" s="16"/>
      <c r="X147" s="12"/>
      <c r="Y147" s="12"/>
      <c r="Z147" s="16"/>
      <c r="AA147" s="12"/>
      <c r="AB147" s="12"/>
      <c r="AC147" s="16"/>
    </row>
    <row r="148" spans="12:29" x14ac:dyDescent="0.2">
      <c r="L148" s="12"/>
      <c r="M148" s="12"/>
      <c r="N148" s="16"/>
      <c r="O148" s="12"/>
      <c r="P148" s="12"/>
      <c r="Q148" s="16"/>
      <c r="R148" s="12"/>
      <c r="S148" s="12"/>
      <c r="T148" s="16"/>
      <c r="U148" s="12"/>
      <c r="V148" s="12"/>
      <c r="W148" s="16"/>
      <c r="X148" s="12"/>
      <c r="Y148" s="12"/>
      <c r="Z148" s="16"/>
      <c r="AA148" s="12"/>
      <c r="AB148" s="12"/>
      <c r="AC148" s="16"/>
    </row>
    <row r="149" spans="12:29" x14ac:dyDescent="0.2">
      <c r="L149" s="12"/>
      <c r="M149" s="12"/>
      <c r="N149" s="16"/>
      <c r="O149" s="12"/>
      <c r="P149" s="12"/>
      <c r="Q149" s="16"/>
      <c r="R149" s="12"/>
      <c r="S149" s="12"/>
      <c r="T149" s="16"/>
      <c r="U149" s="12"/>
      <c r="V149" s="12"/>
      <c r="W149" s="16"/>
      <c r="X149" s="12"/>
      <c r="Y149" s="12"/>
      <c r="Z149" s="16"/>
      <c r="AA149" s="12"/>
      <c r="AB149" s="12"/>
      <c r="AC149" s="16"/>
    </row>
    <row r="150" spans="12:29" x14ac:dyDescent="0.2">
      <c r="L150" s="12"/>
      <c r="M150" s="12"/>
      <c r="N150" s="16"/>
      <c r="O150" s="12"/>
      <c r="P150" s="12"/>
      <c r="Q150" s="16"/>
      <c r="R150" s="12"/>
      <c r="S150" s="12"/>
      <c r="T150" s="16"/>
      <c r="U150" s="12"/>
      <c r="V150" s="12"/>
      <c r="W150" s="16"/>
      <c r="X150" s="12"/>
      <c r="Y150" s="12"/>
      <c r="Z150" s="16"/>
      <c r="AA150" s="12"/>
      <c r="AB150" s="12"/>
      <c r="AC150" s="16"/>
    </row>
    <row r="151" spans="12:29" x14ac:dyDescent="0.2">
      <c r="L151" s="12"/>
      <c r="M151" s="12"/>
      <c r="N151" s="16"/>
      <c r="O151" s="12"/>
      <c r="P151" s="12"/>
      <c r="Q151" s="16"/>
      <c r="R151" s="12"/>
      <c r="S151" s="12"/>
      <c r="T151" s="16"/>
      <c r="U151" s="12"/>
      <c r="V151" s="12"/>
      <c r="W151" s="16"/>
      <c r="X151" s="12"/>
      <c r="Y151" s="12"/>
      <c r="Z151" s="16"/>
      <c r="AA151" s="12"/>
      <c r="AB151" s="12"/>
      <c r="AC151" s="16"/>
    </row>
    <row r="152" spans="12:29" x14ac:dyDescent="0.2">
      <c r="L152" s="12"/>
      <c r="M152" s="12"/>
      <c r="N152" s="16"/>
      <c r="O152" s="12"/>
      <c r="P152" s="12"/>
      <c r="Q152" s="16"/>
      <c r="R152" s="12"/>
      <c r="S152" s="12"/>
      <c r="T152" s="16"/>
      <c r="U152" s="12"/>
      <c r="V152" s="12"/>
      <c r="W152" s="16"/>
      <c r="X152" s="12"/>
      <c r="Y152" s="12"/>
      <c r="Z152" s="16"/>
      <c r="AA152" s="12"/>
      <c r="AB152" s="12"/>
      <c r="AC152" s="16"/>
    </row>
    <row r="153" spans="12:29" x14ac:dyDescent="0.2">
      <c r="L153" s="12"/>
      <c r="M153" s="12"/>
      <c r="N153" s="16"/>
      <c r="O153" s="12"/>
      <c r="P153" s="12"/>
      <c r="Q153" s="16"/>
      <c r="R153" s="12"/>
      <c r="S153" s="12"/>
      <c r="T153" s="16"/>
      <c r="U153" s="12"/>
      <c r="V153" s="12"/>
      <c r="W153" s="16"/>
      <c r="X153" s="12"/>
      <c r="Y153" s="12"/>
      <c r="Z153" s="16"/>
      <c r="AA153" s="12"/>
      <c r="AB153" s="12"/>
      <c r="AC153" s="16"/>
    </row>
    <row r="154" spans="12:29" x14ac:dyDescent="0.2">
      <c r="L154" s="12"/>
      <c r="M154" s="12"/>
      <c r="N154" s="16"/>
      <c r="O154" s="12"/>
      <c r="P154" s="12"/>
      <c r="Q154" s="16"/>
      <c r="R154" s="12"/>
      <c r="S154" s="12"/>
      <c r="T154" s="16"/>
      <c r="U154" s="12"/>
      <c r="V154" s="12"/>
      <c r="W154" s="16"/>
      <c r="X154" s="12"/>
      <c r="Y154" s="12"/>
      <c r="Z154" s="16"/>
      <c r="AA154" s="12"/>
      <c r="AB154" s="12"/>
      <c r="AC154" s="16"/>
    </row>
    <row r="155" spans="12:29" x14ac:dyDescent="0.2">
      <c r="L155" s="12"/>
      <c r="M155" s="12"/>
      <c r="N155" s="16"/>
      <c r="O155" s="12"/>
      <c r="P155" s="12"/>
      <c r="Q155" s="16"/>
      <c r="R155" s="12"/>
      <c r="S155" s="12"/>
      <c r="T155" s="16"/>
      <c r="U155" s="12"/>
      <c r="V155" s="12"/>
      <c r="W155" s="16"/>
      <c r="X155" s="12"/>
      <c r="Y155" s="12"/>
      <c r="Z155" s="16"/>
      <c r="AA155" s="12"/>
      <c r="AB155" s="12"/>
      <c r="AC155" s="16"/>
    </row>
    <row r="156" spans="12:29" x14ac:dyDescent="0.2">
      <c r="L156" s="12"/>
      <c r="M156" s="12"/>
      <c r="N156" s="16"/>
      <c r="O156" s="12"/>
      <c r="P156" s="12"/>
      <c r="Q156" s="16"/>
      <c r="R156" s="12"/>
      <c r="S156" s="12"/>
      <c r="T156" s="16"/>
      <c r="U156" s="12"/>
      <c r="V156" s="12"/>
      <c r="W156" s="16"/>
      <c r="X156" s="12"/>
      <c r="Y156" s="12"/>
      <c r="Z156" s="16"/>
      <c r="AA156" s="12"/>
      <c r="AB156" s="12"/>
      <c r="AC156" s="16"/>
    </row>
    <row r="157" spans="12:29" x14ac:dyDescent="0.2">
      <c r="L157" s="12"/>
      <c r="M157" s="12"/>
      <c r="N157" s="16"/>
      <c r="O157" s="12"/>
      <c r="P157" s="12"/>
      <c r="Q157" s="16"/>
      <c r="R157" s="12"/>
      <c r="S157" s="12"/>
      <c r="T157" s="16"/>
      <c r="U157" s="12"/>
      <c r="V157" s="12"/>
      <c r="W157" s="16"/>
      <c r="X157" s="12"/>
      <c r="Y157" s="12"/>
      <c r="Z157" s="16"/>
      <c r="AA157" s="12"/>
      <c r="AB157" s="12"/>
      <c r="AC157" s="16"/>
    </row>
    <row r="158" spans="12:29" x14ac:dyDescent="0.2">
      <c r="L158" s="12"/>
      <c r="M158" s="12"/>
      <c r="N158" s="16"/>
      <c r="O158" s="12"/>
      <c r="P158" s="12"/>
      <c r="Q158" s="16"/>
      <c r="R158" s="12"/>
      <c r="S158" s="12"/>
      <c r="T158" s="16"/>
      <c r="U158" s="12"/>
      <c r="V158" s="12"/>
      <c r="W158" s="16"/>
      <c r="X158" s="12"/>
      <c r="Y158" s="12"/>
      <c r="Z158" s="16"/>
      <c r="AA158" s="12"/>
      <c r="AB158" s="12"/>
      <c r="AC158" s="16"/>
    </row>
    <row r="159" spans="12:29" x14ac:dyDescent="0.2">
      <c r="L159" s="12"/>
      <c r="M159" s="12"/>
      <c r="N159" s="16"/>
      <c r="O159" s="12"/>
      <c r="P159" s="12"/>
      <c r="Q159" s="16"/>
      <c r="R159" s="12"/>
      <c r="S159" s="12"/>
      <c r="T159" s="16"/>
      <c r="U159" s="12"/>
      <c r="V159" s="12"/>
      <c r="W159" s="16"/>
      <c r="X159" s="12"/>
      <c r="Y159" s="12"/>
      <c r="Z159" s="16"/>
      <c r="AA159" s="12"/>
      <c r="AB159" s="12"/>
      <c r="AC159" s="16"/>
    </row>
    <row r="160" spans="12:29" x14ac:dyDescent="0.2">
      <c r="L160" s="12"/>
      <c r="M160" s="12"/>
      <c r="N160" s="16"/>
      <c r="O160" s="12"/>
      <c r="P160" s="12"/>
      <c r="Q160" s="16"/>
      <c r="R160" s="12"/>
      <c r="S160" s="12"/>
      <c r="T160" s="16"/>
      <c r="U160" s="12"/>
      <c r="V160" s="12"/>
      <c r="W160" s="16"/>
      <c r="X160" s="12"/>
      <c r="Y160" s="12"/>
      <c r="Z160" s="16"/>
      <c r="AA160" s="12"/>
      <c r="AB160" s="12"/>
      <c r="AC160" s="16"/>
    </row>
    <row r="161" spans="12:29" x14ac:dyDescent="0.2">
      <c r="L161" s="12"/>
      <c r="M161" s="12"/>
      <c r="N161" s="16"/>
      <c r="O161" s="12"/>
      <c r="P161" s="12"/>
      <c r="Q161" s="16"/>
      <c r="R161" s="12"/>
      <c r="S161" s="12"/>
      <c r="T161" s="16"/>
      <c r="U161" s="12"/>
      <c r="V161" s="12"/>
      <c r="W161" s="16"/>
      <c r="X161" s="12"/>
      <c r="Y161" s="12"/>
      <c r="Z161" s="16"/>
      <c r="AA161" s="12"/>
      <c r="AB161" s="12"/>
      <c r="AC161" s="16"/>
    </row>
    <row r="162" spans="12:29" x14ac:dyDescent="0.2">
      <c r="L162" s="12"/>
      <c r="M162" s="12"/>
      <c r="N162" s="16"/>
      <c r="O162" s="12"/>
      <c r="P162" s="12"/>
      <c r="Q162" s="16"/>
      <c r="R162" s="12"/>
      <c r="S162" s="12"/>
      <c r="T162" s="16"/>
      <c r="U162" s="12"/>
      <c r="V162" s="12"/>
      <c r="W162" s="16"/>
      <c r="X162" s="12"/>
      <c r="Y162" s="12"/>
      <c r="Z162" s="16"/>
      <c r="AA162" s="12"/>
      <c r="AB162" s="12"/>
      <c r="AC162" s="16"/>
    </row>
    <row r="163" spans="12:29" x14ac:dyDescent="0.2">
      <c r="L163" s="12"/>
      <c r="M163" s="12"/>
      <c r="N163" s="16"/>
      <c r="O163" s="12"/>
      <c r="P163" s="12"/>
      <c r="Q163" s="16"/>
      <c r="R163" s="12"/>
      <c r="S163" s="12"/>
      <c r="T163" s="16"/>
      <c r="U163" s="12"/>
      <c r="V163" s="12"/>
      <c r="W163" s="16"/>
      <c r="X163" s="12"/>
      <c r="Y163" s="12"/>
      <c r="Z163" s="16"/>
      <c r="AA163" s="12"/>
      <c r="AB163" s="12"/>
      <c r="AC163" s="16"/>
    </row>
    <row r="164" spans="12:29" x14ac:dyDescent="0.2">
      <c r="L164" s="12"/>
      <c r="M164" s="12"/>
      <c r="N164" s="16"/>
      <c r="O164" s="12"/>
      <c r="P164" s="12"/>
      <c r="Q164" s="16"/>
      <c r="R164" s="12"/>
      <c r="S164" s="12"/>
      <c r="T164" s="16"/>
      <c r="U164" s="12"/>
      <c r="V164" s="12"/>
      <c r="W164" s="16"/>
      <c r="X164" s="12"/>
      <c r="Y164" s="12"/>
      <c r="Z164" s="16"/>
      <c r="AA164" s="12"/>
      <c r="AB164" s="12"/>
      <c r="AC164" s="16"/>
    </row>
    <row r="165" spans="12:29" x14ac:dyDescent="0.2">
      <c r="L165" s="12"/>
      <c r="M165" s="12"/>
      <c r="N165" s="16"/>
      <c r="O165" s="12"/>
      <c r="P165" s="12"/>
      <c r="Q165" s="16"/>
      <c r="R165" s="12"/>
      <c r="S165" s="12"/>
      <c r="T165" s="16"/>
      <c r="U165" s="12"/>
      <c r="V165" s="12"/>
      <c r="W165" s="16"/>
      <c r="X165" s="12"/>
      <c r="Y165" s="12"/>
      <c r="Z165" s="16"/>
      <c r="AA165" s="12"/>
      <c r="AB165" s="12"/>
      <c r="AC165" s="16"/>
    </row>
    <row r="166" spans="12:29" x14ac:dyDescent="0.2">
      <c r="L166" s="12"/>
      <c r="M166" s="12"/>
      <c r="N166" s="16"/>
      <c r="O166" s="12"/>
      <c r="P166" s="12"/>
      <c r="Q166" s="16"/>
      <c r="R166" s="12"/>
      <c r="S166" s="12"/>
      <c r="T166" s="16"/>
      <c r="U166" s="12"/>
      <c r="V166" s="12"/>
      <c r="W166" s="16"/>
      <c r="X166" s="12"/>
      <c r="Y166" s="12"/>
      <c r="Z166" s="16"/>
      <c r="AA166" s="12"/>
      <c r="AB166" s="12"/>
      <c r="AC166" s="16"/>
    </row>
    <row r="167" spans="12:29" x14ac:dyDescent="0.2">
      <c r="L167" s="12"/>
      <c r="M167" s="12"/>
      <c r="N167" s="16"/>
      <c r="O167" s="12"/>
      <c r="P167" s="12"/>
      <c r="Q167" s="16"/>
      <c r="R167" s="12"/>
      <c r="S167" s="12"/>
      <c r="T167" s="16"/>
      <c r="U167" s="12"/>
      <c r="V167" s="12"/>
      <c r="W167" s="16"/>
      <c r="X167" s="12"/>
      <c r="Y167" s="12"/>
      <c r="Z167" s="16"/>
      <c r="AA167" s="12"/>
      <c r="AB167" s="12"/>
      <c r="AC167" s="16"/>
    </row>
    <row r="168" spans="12:29" x14ac:dyDescent="0.2">
      <c r="L168" s="12"/>
      <c r="M168" s="12"/>
      <c r="N168" s="16"/>
      <c r="O168" s="12"/>
      <c r="P168" s="12"/>
      <c r="Q168" s="16"/>
      <c r="R168" s="12"/>
      <c r="S168" s="12"/>
      <c r="T168" s="16"/>
      <c r="U168" s="12"/>
      <c r="V168" s="12"/>
      <c r="W168" s="16"/>
      <c r="X168" s="12"/>
      <c r="Y168" s="12"/>
      <c r="Z168" s="16"/>
      <c r="AA168" s="12"/>
      <c r="AB168" s="12"/>
      <c r="AC168" s="16"/>
    </row>
    <row r="169" spans="12:29" x14ac:dyDescent="0.2">
      <c r="L169" s="12"/>
      <c r="M169" s="12"/>
      <c r="N169" s="16"/>
      <c r="O169" s="12"/>
      <c r="P169" s="12"/>
      <c r="Q169" s="16"/>
      <c r="R169" s="12"/>
      <c r="S169" s="12"/>
      <c r="T169" s="16"/>
      <c r="U169" s="12"/>
      <c r="V169" s="12"/>
      <c r="W169" s="16"/>
      <c r="X169" s="12"/>
      <c r="Y169" s="12"/>
      <c r="Z169" s="16"/>
      <c r="AA169" s="12"/>
      <c r="AB169" s="12"/>
      <c r="AC169" s="16"/>
    </row>
    <row r="170" spans="12:29" x14ac:dyDescent="0.2">
      <c r="L170" s="12"/>
      <c r="M170" s="12"/>
      <c r="N170" s="16"/>
      <c r="O170" s="12"/>
      <c r="P170" s="12"/>
      <c r="Q170" s="16"/>
      <c r="R170" s="12"/>
      <c r="S170" s="12"/>
      <c r="T170" s="16"/>
      <c r="U170" s="12"/>
      <c r="V170" s="12"/>
      <c r="W170" s="16"/>
      <c r="X170" s="12"/>
      <c r="Y170" s="12"/>
      <c r="Z170" s="16"/>
      <c r="AA170" s="12"/>
      <c r="AB170" s="12"/>
      <c r="AC170" s="16"/>
    </row>
    <row r="171" spans="12:29" x14ac:dyDescent="0.2">
      <c r="L171" s="12"/>
      <c r="M171" s="12"/>
      <c r="N171" s="16"/>
      <c r="O171" s="12"/>
      <c r="P171" s="12"/>
      <c r="Q171" s="16"/>
      <c r="R171" s="12"/>
      <c r="S171" s="12"/>
      <c r="T171" s="16"/>
      <c r="U171" s="12"/>
      <c r="V171" s="12"/>
      <c r="W171" s="16"/>
      <c r="X171" s="12"/>
      <c r="Y171" s="12"/>
      <c r="Z171" s="16"/>
      <c r="AA171" s="12"/>
      <c r="AB171" s="12"/>
      <c r="AC171" s="16"/>
    </row>
    <row r="172" spans="12:29" x14ac:dyDescent="0.2">
      <c r="L172" s="12"/>
      <c r="M172" s="12"/>
      <c r="N172" s="16"/>
      <c r="O172" s="12"/>
      <c r="P172" s="12"/>
      <c r="Q172" s="16"/>
      <c r="R172" s="12"/>
      <c r="S172" s="12"/>
      <c r="T172" s="16"/>
      <c r="U172" s="12"/>
      <c r="V172" s="12"/>
      <c r="W172" s="16"/>
      <c r="X172" s="12"/>
      <c r="Y172" s="12"/>
      <c r="Z172" s="16"/>
      <c r="AA172" s="12"/>
      <c r="AB172" s="12"/>
      <c r="AC172" s="16"/>
    </row>
    <row r="173" spans="12:29" x14ac:dyDescent="0.2">
      <c r="L173" s="12"/>
      <c r="M173" s="12"/>
      <c r="N173" s="16"/>
      <c r="O173" s="12"/>
      <c r="P173" s="12"/>
      <c r="Q173" s="16"/>
      <c r="R173" s="12"/>
      <c r="S173" s="12"/>
      <c r="T173" s="16"/>
      <c r="U173" s="12"/>
      <c r="V173" s="12"/>
      <c r="W173" s="16"/>
      <c r="X173" s="12"/>
      <c r="Y173" s="12"/>
      <c r="Z173" s="16"/>
      <c r="AA173" s="12"/>
      <c r="AB173" s="12"/>
      <c r="AC173" s="16"/>
    </row>
    <row r="174" spans="12:29" x14ac:dyDescent="0.2">
      <c r="L174" s="12"/>
      <c r="M174" s="12"/>
      <c r="N174" s="16"/>
      <c r="O174" s="12"/>
      <c r="P174" s="12"/>
      <c r="Q174" s="16"/>
      <c r="R174" s="12"/>
      <c r="S174" s="12"/>
      <c r="T174" s="16"/>
      <c r="U174" s="12"/>
      <c r="V174" s="12"/>
      <c r="W174" s="16"/>
      <c r="X174" s="12"/>
      <c r="Y174" s="12"/>
      <c r="Z174" s="16"/>
      <c r="AA174" s="12"/>
      <c r="AB174" s="12"/>
      <c r="AC174" s="16"/>
    </row>
    <row r="175" spans="12:29" x14ac:dyDescent="0.2">
      <c r="L175" s="12"/>
      <c r="M175" s="12"/>
      <c r="N175" s="16"/>
      <c r="O175" s="12"/>
      <c r="P175" s="12"/>
      <c r="Q175" s="16"/>
      <c r="R175" s="12"/>
      <c r="S175" s="12"/>
      <c r="T175" s="16"/>
      <c r="U175" s="12"/>
      <c r="V175" s="12"/>
      <c r="W175" s="16"/>
      <c r="X175" s="12"/>
      <c r="Y175" s="12"/>
      <c r="Z175" s="16"/>
      <c r="AA175" s="12"/>
      <c r="AB175" s="12"/>
      <c r="AC175" s="16"/>
    </row>
    <row r="176" spans="12:29" x14ac:dyDescent="0.2">
      <c r="L176" s="12"/>
      <c r="M176" s="12"/>
      <c r="N176" s="16"/>
      <c r="O176" s="12"/>
      <c r="P176" s="12"/>
      <c r="Q176" s="16"/>
      <c r="R176" s="12"/>
      <c r="S176" s="12"/>
      <c r="T176" s="16"/>
      <c r="U176" s="12"/>
      <c r="V176" s="12"/>
      <c r="W176" s="16"/>
      <c r="X176" s="12"/>
      <c r="Y176" s="12"/>
      <c r="Z176" s="16"/>
      <c r="AA176" s="12"/>
      <c r="AB176" s="12"/>
      <c r="AC176" s="16"/>
    </row>
    <row r="177" spans="12:29" x14ac:dyDescent="0.2">
      <c r="L177" s="12"/>
      <c r="M177" s="12"/>
      <c r="N177" s="16"/>
      <c r="O177" s="12"/>
      <c r="P177" s="12"/>
      <c r="Q177" s="16"/>
      <c r="R177" s="12"/>
      <c r="S177" s="12"/>
      <c r="T177" s="16"/>
      <c r="U177" s="12"/>
      <c r="V177" s="12"/>
      <c r="W177" s="16"/>
      <c r="X177" s="12"/>
      <c r="Y177" s="12"/>
      <c r="Z177" s="16"/>
      <c r="AA177" s="12"/>
      <c r="AB177" s="12"/>
      <c r="AC177" s="16"/>
    </row>
    <row r="178" spans="12:29" x14ac:dyDescent="0.2">
      <c r="L178" s="12"/>
      <c r="M178" s="12"/>
      <c r="N178" s="16"/>
      <c r="O178" s="12"/>
      <c r="P178" s="12"/>
      <c r="Q178" s="16"/>
      <c r="R178" s="12"/>
      <c r="S178" s="12"/>
      <c r="T178" s="16"/>
      <c r="U178" s="12"/>
      <c r="V178" s="12"/>
      <c r="W178" s="16"/>
      <c r="X178" s="12"/>
      <c r="Y178" s="12"/>
      <c r="Z178" s="16"/>
      <c r="AA178" s="12"/>
      <c r="AB178" s="12"/>
      <c r="AC178" s="16"/>
    </row>
    <row r="179" spans="12:29" x14ac:dyDescent="0.2">
      <c r="L179" s="12"/>
      <c r="M179" s="12"/>
      <c r="N179" s="16"/>
      <c r="O179" s="12"/>
      <c r="P179" s="12"/>
      <c r="Q179" s="16"/>
      <c r="R179" s="12"/>
      <c r="S179" s="12"/>
      <c r="T179" s="16"/>
      <c r="U179" s="12"/>
      <c r="V179" s="12"/>
      <c r="W179" s="16"/>
      <c r="X179" s="12"/>
      <c r="Y179" s="12"/>
      <c r="Z179" s="16"/>
      <c r="AA179" s="12"/>
      <c r="AB179" s="12"/>
      <c r="AC179" s="16"/>
    </row>
    <row r="180" spans="12:29" x14ac:dyDescent="0.2">
      <c r="L180" s="12"/>
      <c r="M180" s="12"/>
      <c r="N180" s="16"/>
      <c r="O180" s="12"/>
      <c r="P180" s="12"/>
      <c r="Q180" s="16"/>
      <c r="R180" s="12"/>
      <c r="S180" s="12"/>
      <c r="T180" s="16"/>
      <c r="U180" s="12"/>
      <c r="V180" s="12"/>
      <c r="W180" s="16"/>
      <c r="X180" s="12"/>
      <c r="Y180" s="12"/>
      <c r="Z180" s="16"/>
      <c r="AA180" s="12"/>
      <c r="AB180" s="12"/>
      <c r="AC180" s="16"/>
    </row>
    <row r="181" spans="12:29" x14ac:dyDescent="0.2">
      <c r="L181" s="12"/>
      <c r="M181" s="12"/>
      <c r="N181" s="16"/>
      <c r="O181" s="12"/>
      <c r="P181" s="12"/>
      <c r="Q181" s="16"/>
      <c r="R181" s="12"/>
      <c r="S181" s="12"/>
      <c r="T181" s="16"/>
      <c r="U181" s="12"/>
      <c r="V181" s="12"/>
      <c r="W181" s="16"/>
      <c r="X181" s="12"/>
      <c r="Y181" s="12"/>
      <c r="Z181" s="16"/>
      <c r="AA181" s="12"/>
      <c r="AB181" s="12"/>
      <c r="AC181" s="16"/>
    </row>
    <row r="182" spans="12:29" x14ac:dyDescent="0.2">
      <c r="L182" s="12"/>
      <c r="M182" s="12"/>
      <c r="N182" s="16"/>
      <c r="O182" s="12"/>
      <c r="P182" s="12"/>
      <c r="Q182" s="16"/>
      <c r="R182" s="12"/>
      <c r="S182" s="12"/>
      <c r="T182" s="16"/>
      <c r="U182" s="12"/>
      <c r="V182" s="12"/>
      <c r="W182" s="16"/>
      <c r="X182" s="12"/>
      <c r="Y182" s="12"/>
      <c r="Z182" s="16"/>
      <c r="AA182" s="12"/>
      <c r="AB182" s="12"/>
      <c r="AC182" s="16"/>
    </row>
    <row r="183" spans="12:29" x14ac:dyDescent="0.2">
      <c r="L183" s="12"/>
      <c r="M183" s="12"/>
      <c r="N183" s="16"/>
      <c r="O183" s="12"/>
      <c r="P183" s="12"/>
      <c r="Q183" s="16"/>
      <c r="R183" s="12"/>
      <c r="S183" s="12"/>
      <c r="T183" s="16"/>
      <c r="U183" s="12"/>
      <c r="V183" s="12"/>
      <c r="W183" s="16"/>
      <c r="X183" s="12"/>
      <c r="Y183" s="12"/>
      <c r="Z183" s="16"/>
      <c r="AA183" s="12"/>
      <c r="AB183" s="12"/>
      <c r="AC183" s="16"/>
    </row>
    <row r="184" spans="12:29" x14ac:dyDescent="0.2">
      <c r="L184" s="12"/>
      <c r="M184" s="12"/>
      <c r="N184" s="16"/>
      <c r="O184" s="12"/>
      <c r="P184" s="12"/>
      <c r="Q184" s="16"/>
      <c r="R184" s="12"/>
      <c r="S184" s="12"/>
      <c r="T184" s="16"/>
      <c r="U184" s="12"/>
      <c r="V184" s="12"/>
      <c r="W184" s="16"/>
      <c r="X184" s="12"/>
      <c r="Y184" s="12"/>
      <c r="Z184" s="16"/>
      <c r="AA184" s="12"/>
      <c r="AB184" s="12"/>
      <c r="AC184" s="16"/>
    </row>
    <row r="185" spans="12:29" x14ac:dyDescent="0.2">
      <c r="L185" s="12"/>
      <c r="M185" s="12"/>
      <c r="N185" s="16"/>
      <c r="O185" s="12"/>
      <c r="P185" s="12"/>
      <c r="Q185" s="16"/>
      <c r="R185" s="12"/>
      <c r="S185" s="12"/>
      <c r="T185" s="16"/>
      <c r="U185" s="12"/>
      <c r="V185" s="12"/>
      <c r="W185" s="16"/>
      <c r="X185" s="12"/>
      <c r="Y185" s="12"/>
      <c r="Z185" s="16"/>
      <c r="AA185" s="12"/>
      <c r="AB185" s="12"/>
      <c r="AC185" s="16"/>
    </row>
    <row r="186" spans="12:29" x14ac:dyDescent="0.2">
      <c r="L186" s="12"/>
      <c r="M186" s="12"/>
      <c r="N186" s="16"/>
      <c r="O186" s="12"/>
      <c r="P186" s="12"/>
      <c r="Q186" s="16"/>
      <c r="R186" s="12"/>
      <c r="S186" s="12"/>
      <c r="T186" s="16"/>
      <c r="U186" s="12"/>
      <c r="V186" s="12"/>
      <c r="W186" s="16"/>
      <c r="X186" s="12"/>
      <c r="Y186" s="12"/>
      <c r="Z186" s="16"/>
      <c r="AA186" s="12"/>
      <c r="AB186" s="12"/>
      <c r="AC186" s="16"/>
    </row>
    <row r="187" spans="12:29" x14ac:dyDescent="0.2">
      <c r="L187" s="12"/>
      <c r="M187" s="12"/>
      <c r="N187" s="16"/>
      <c r="O187" s="12"/>
      <c r="P187" s="12"/>
      <c r="Q187" s="16"/>
      <c r="R187" s="12"/>
      <c r="S187" s="12"/>
      <c r="T187" s="16"/>
      <c r="U187" s="12"/>
      <c r="V187" s="12"/>
      <c r="W187" s="16"/>
      <c r="X187" s="12"/>
      <c r="Y187" s="12"/>
      <c r="Z187" s="16"/>
      <c r="AA187" s="12"/>
      <c r="AB187" s="12"/>
      <c r="AC187" s="16"/>
    </row>
    <row r="188" spans="12:29" x14ac:dyDescent="0.2">
      <c r="L188" s="12"/>
      <c r="M188" s="12"/>
      <c r="N188" s="16"/>
      <c r="O188" s="12"/>
      <c r="P188" s="12"/>
      <c r="Q188" s="16"/>
      <c r="R188" s="12"/>
      <c r="S188" s="12"/>
      <c r="T188" s="16"/>
      <c r="U188" s="12"/>
      <c r="V188" s="12"/>
      <c r="W188" s="16"/>
      <c r="X188" s="12"/>
      <c r="Y188" s="12"/>
      <c r="Z188" s="16"/>
      <c r="AA188" s="12"/>
      <c r="AB188" s="12"/>
      <c r="AC188" s="16"/>
    </row>
    <row r="189" spans="12:29" x14ac:dyDescent="0.2">
      <c r="L189" s="12"/>
      <c r="M189" s="12"/>
      <c r="N189" s="16"/>
      <c r="O189" s="12"/>
      <c r="P189" s="12"/>
      <c r="Q189" s="16"/>
      <c r="R189" s="12"/>
      <c r="S189" s="12"/>
      <c r="T189" s="16"/>
      <c r="U189" s="12"/>
      <c r="V189" s="12"/>
      <c r="W189" s="16"/>
      <c r="X189" s="12"/>
      <c r="Y189" s="12"/>
      <c r="Z189" s="16"/>
      <c r="AA189" s="12"/>
      <c r="AB189" s="12"/>
      <c r="AC189" s="16"/>
    </row>
    <row r="190" spans="12:29" x14ac:dyDescent="0.2">
      <c r="L190" s="12"/>
      <c r="M190" s="12"/>
      <c r="N190" s="16"/>
      <c r="O190" s="12"/>
      <c r="P190" s="12"/>
      <c r="Q190" s="16"/>
      <c r="R190" s="12"/>
      <c r="S190" s="12"/>
      <c r="T190" s="16"/>
      <c r="U190" s="12"/>
      <c r="V190" s="12"/>
      <c r="W190" s="16"/>
      <c r="X190" s="12"/>
      <c r="Y190" s="12"/>
      <c r="Z190" s="16"/>
      <c r="AA190" s="12"/>
      <c r="AB190" s="12"/>
      <c r="AC190" s="16"/>
    </row>
    <row r="191" spans="12:29" x14ac:dyDescent="0.2">
      <c r="L191" s="12"/>
      <c r="M191" s="12"/>
      <c r="N191" s="16"/>
      <c r="O191" s="12"/>
      <c r="P191" s="12"/>
      <c r="Q191" s="16"/>
      <c r="R191" s="12"/>
      <c r="S191" s="12"/>
      <c r="T191" s="16"/>
      <c r="U191" s="12"/>
      <c r="V191" s="12"/>
      <c r="W191" s="16"/>
      <c r="X191" s="12"/>
      <c r="Y191" s="12"/>
      <c r="Z191" s="16"/>
      <c r="AA191" s="12"/>
      <c r="AB191" s="12"/>
      <c r="AC191" s="16"/>
    </row>
    <row r="192" spans="12:29" x14ac:dyDescent="0.2">
      <c r="L192" s="12"/>
      <c r="M192" s="12"/>
      <c r="N192" s="16"/>
      <c r="O192" s="12"/>
      <c r="P192" s="12"/>
      <c r="Q192" s="16"/>
      <c r="R192" s="12"/>
      <c r="S192" s="12"/>
      <c r="T192" s="16"/>
      <c r="U192" s="12"/>
      <c r="V192" s="12"/>
      <c r="W192" s="16"/>
      <c r="X192" s="12"/>
      <c r="Y192" s="12"/>
      <c r="Z192" s="16"/>
      <c r="AA192" s="12"/>
      <c r="AB192" s="12"/>
      <c r="AC192" s="16"/>
    </row>
  </sheetData>
  <sheetProtection formatRows="0" insertRows="0" selectLockedCells="1"/>
  <protectedRanges>
    <protectedRange password="F692" sqref="B27:C27 E27:G27 B94:H94 E82:G82 B32:C32 E32:G32 B82:C82 E35:G35 B35:C35 E79:G79 B79:C79 B80:H81 B83:H85 B87:D87 B92:D92 B88:C91 E87:H93 B93:C93 C97:H97 B15:H26 B28:H31 B33:H34 B36:H64 E65:G65 B65:C65 B66:H78 I19:I20 I25 I30:I31 I33 I63 I51 I48 I43:I45 I36 I58:I59 R49 R57 R59 U19:U20 U43:U45 U63" name="Rango1_1_1_2"/>
    <protectedRange password="F692" sqref="J92 J87 J97 M92 P92 M97 S92 V92 Y92 AB92 S97 V97 M87 P87 P97 S87 V87 Y87 AB87 Y97 AB97" name="Rango1_1_1_3"/>
    <protectedRange password="F692" sqref="J93:J94 M93:M94 P93:P94 AB93:AB94 S93:S94 V93:V94 Y93:Y94" name="Rango1_1_1_3_2"/>
    <protectedRange password="F692" sqref="B14:C14 E14:H14 H27 H82 H32 H35 H79 H65" name="Rango1_1_1_2_3"/>
    <protectedRange password="F692" sqref="J95:J96 M95:M96 P95:P96 AB95:AB96 S95:S96 V95:V96 Y95:Y96" name="Rango1_1_1_3_6"/>
    <protectedRange password="F692" sqref="H95:H96" name="Rango1_1_1_2_2_1"/>
    <protectedRange password="F692" sqref="E95:G96" name="Rango1_1_1_1_1_1_1"/>
    <protectedRange password="F692" sqref="B86:H86" name="Rango1_1_1_2_4"/>
  </protectedRanges>
  <mergeCells count="60">
    <mergeCell ref="L10:N10"/>
    <mergeCell ref="L11:N11"/>
    <mergeCell ref="L12:N12"/>
    <mergeCell ref="L99:N99"/>
    <mergeCell ref="L100:N103"/>
    <mergeCell ref="O10:Q10"/>
    <mergeCell ref="O11:Q11"/>
    <mergeCell ref="O12:Q12"/>
    <mergeCell ref="O99:Q99"/>
    <mergeCell ref="O100:Q103"/>
    <mergeCell ref="I10:K10"/>
    <mergeCell ref="H100:H103"/>
    <mergeCell ref="B11:H11"/>
    <mergeCell ref="B12:H12"/>
    <mergeCell ref="I100:K103"/>
    <mergeCell ref="I99:K99"/>
    <mergeCell ref="I11:K11"/>
    <mergeCell ref="I12:K12"/>
    <mergeCell ref="B91:F91"/>
    <mergeCell ref="B93:F93"/>
    <mergeCell ref="B95:G95"/>
    <mergeCell ref="H104:H107"/>
    <mergeCell ref="R104:T107"/>
    <mergeCell ref="U104:W107"/>
    <mergeCell ref="X104:Z107"/>
    <mergeCell ref="AA104:AC107"/>
    <mergeCell ref="I104:K107"/>
    <mergeCell ref="L104:N107"/>
    <mergeCell ref="O104:Q107"/>
    <mergeCell ref="X10:Z10"/>
    <mergeCell ref="X11:Z11"/>
    <mergeCell ref="X12:Z12"/>
    <mergeCell ref="X99:Z99"/>
    <mergeCell ref="X100:Z103"/>
    <mergeCell ref="AA10:AC10"/>
    <mergeCell ref="AA11:AC11"/>
    <mergeCell ref="AA12:AC12"/>
    <mergeCell ref="AA99:AC99"/>
    <mergeCell ref="AA100:AC103"/>
    <mergeCell ref="R10:T10"/>
    <mergeCell ref="R11:T11"/>
    <mergeCell ref="R12:T12"/>
    <mergeCell ref="R99:T99"/>
    <mergeCell ref="R100:T103"/>
    <mergeCell ref="U10:W10"/>
    <mergeCell ref="U11:W11"/>
    <mergeCell ref="U12:W12"/>
    <mergeCell ref="U99:W99"/>
    <mergeCell ref="U100:W103"/>
    <mergeCell ref="B7:H7"/>
    <mergeCell ref="B9:H9"/>
    <mergeCell ref="B96:G96"/>
    <mergeCell ref="B88:F88"/>
    <mergeCell ref="B89:F89"/>
    <mergeCell ref="B90:F90"/>
    <mergeCell ref="B1:H1"/>
    <mergeCell ref="B2:H2"/>
    <mergeCell ref="B3:H3"/>
    <mergeCell ref="B4:H4"/>
    <mergeCell ref="B5:H5"/>
  </mergeCells>
  <phoneticPr fontId="4" type="noConversion"/>
  <conditionalFormatting sqref="I10:K10">
    <cfRule type="cellIs" dxfId="164" priority="30963" operator="equal">
      <formula>"NO ADMISIBLE"</formula>
    </cfRule>
    <cfRule type="cellIs" dxfId="163" priority="30964" operator="equal">
      <formula>"RECHAZO"</formula>
    </cfRule>
    <cfRule type="cellIs" dxfId="162" priority="30965" operator="equal">
      <formula>"ADMISIBLE"</formula>
    </cfRule>
  </conditionalFormatting>
  <conditionalFormatting sqref="L10:N10">
    <cfRule type="cellIs" dxfId="161" priority="18835" operator="equal">
      <formula>"NO ADMISIBLE"</formula>
    </cfRule>
    <cfRule type="cellIs" dxfId="160" priority="18836" operator="equal">
      <formula>"RECHAZO"</formula>
    </cfRule>
    <cfRule type="cellIs" dxfId="159" priority="18837" operator="equal">
      <formula>"ADMISIBLE"</formula>
    </cfRule>
  </conditionalFormatting>
  <conditionalFormatting sqref="O10:Q10">
    <cfRule type="cellIs" dxfId="158" priority="18825" operator="equal">
      <formula>"NO ADMISIBLE"</formula>
    </cfRule>
    <cfRule type="cellIs" dxfId="157" priority="18826" operator="equal">
      <formula>"RECHAZO"</formula>
    </cfRule>
    <cfRule type="cellIs" dxfId="156" priority="18827" operator="equal">
      <formula>"ADMISIBLE"</formula>
    </cfRule>
  </conditionalFormatting>
  <conditionalFormatting sqref="R10:T10">
    <cfRule type="cellIs" dxfId="155" priority="18805" operator="equal">
      <formula>"NO ADMISIBLE"</formula>
    </cfRule>
    <cfRule type="cellIs" dxfId="154" priority="18806" operator="equal">
      <formula>"RECHAZO"</formula>
    </cfRule>
    <cfRule type="cellIs" dxfId="153" priority="18807" operator="equal">
      <formula>"ADMISIBLE"</formula>
    </cfRule>
  </conditionalFormatting>
  <conditionalFormatting sqref="U10:W10">
    <cfRule type="cellIs" dxfId="152" priority="18795" operator="equal">
      <formula>"NO ADMISIBLE"</formula>
    </cfRule>
    <cfRule type="cellIs" dxfId="151" priority="18796" operator="equal">
      <formula>"RECHAZO"</formula>
    </cfRule>
    <cfRule type="cellIs" dxfId="150" priority="18797" operator="equal">
      <formula>"ADMISIBLE"</formula>
    </cfRule>
  </conditionalFormatting>
  <conditionalFormatting sqref="X10:Z10">
    <cfRule type="cellIs" dxfId="149" priority="18785" operator="equal">
      <formula>"NO ADMISIBLE"</formula>
    </cfRule>
    <cfRule type="cellIs" dxfId="148" priority="18786" operator="equal">
      <formula>"RECHAZO"</formula>
    </cfRule>
    <cfRule type="cellIs" dxfId="147" priority="18787" operator="equal">
      <formula>"ADMISIBLE"</formula>
    </cfRule>
  </conditionalFormatting>
  <conditionalFormatting sqref="AA10:AC10">
    <cfRule type="cellIs" dxfId="146" priority="18775" operator="equal">
      <formula>"NO ADMISIBLE"</formula>
    </cfRule>
    <cfRule type="cellIs" dxfId="145" priority="18776" operator="equal">
      <formula>"RECHAZO"</formula>
    </cfRule>
    <cfRule type="cellIs" dxfId="144" priority="18777" operator="equal">
      <formula>"ADMISIBLE"</formula>
    </cfRule>
  </conditionalFormatting>
  <conditionalFormatting sqref="H98">
    <cfRule type="cellIs" dxfId="143" priority="18637" operator="notEqual">
      <formula>""</formula>
    </cfRule>
  </conditionalFormatting>
  <conditionalFormatting sqref="K90 K92:K94 K97 K87:K88">
    <cfRule type="cellIs" dxfId="142" priority="18635" operator="equal">
      <formula>"PARA REVISIÓN"</formula>
    </cfRule>
    <cfRule type="cellIs" dxfId="141" priority="18636" operator="equal">
      <formula>"CUMPLE"</formula>
    </cfRule>
  </conditionalFormatting>
  <conditionalFormatting sqref="K30 K51:K63 K34">
    <cfRule type="cellIs" dxfId="140" priority="18530" operator="equal">
      <formula>"NO VÁLIDA"</formula>
    </cfRule>
    <cfRule type="cellIs" dxfId="139" priority="18531" operator="equal">
      <formula>"VÁLIDA"</formula>
    </cfRule>
  </conditionalFormatting>
  <conditionalFormatting sqref="K91">
    <cfRule type="cellIs" dxfId="138" priority="18516" operator="equal">
      <formula>"NO VÁLIDA"</formula>
    </cfRule>
    <cfRule type="cellIs" dxfId="137" priority="18517" operator="equal">
      <formula>"VÁLIDA"</formula>
    </cfRule>
  </conditionalFormatting>
  <conditionalFormatting sqref="J98">
    <cfRule type="cellIs" dxfId="136" priority="18452" operator="equal">
      <formula>"RECHAZO"</formula>
    </cfRule>
    <cfRule type="cellIs" dxfId="135" priority="18453" operator="equal">
      <formula>"NO ADMISIBLE"</formula>
    </cfRule>
    <cfRule type="cellIs" dxfId="134" priority="18454" operator="notBetween">
      <formula>"RECHAZO"</formula>
      <formula>"NO ADMISIBLE"</formula>
    </cfRule>
  </conditionalFormatting>
  <conditionalFormatting sqref="K98">
    <cfRule type="cellIs" dxfId="133" priority="18038" operator="equal">
      <formula>"NO VÁLIDA"</formula>
    </cfRule>
    <cfRule type="cellIs" dxfId="132" priority="18039" operator="equal">
      <formula>"VÁLIDA"</formula>
    </cfRule>
  </conditionalFormatting>
  <conditionalFormatting sqref="K14">
    <cfRule type="cellIs" dxfId="131" priority="17219" operator="equal">
      <formula>"PARA REVISIÓN"</formula>
    </cfRule>
    <cfRule type="cellIs" dxfId="130" priority="17220" operator="equal">
      <formula>"CUMPLE"</formula>
    </cfRule>
  </conditionalFormatting>
  <conditionalFormatting sqref="K15">
    <cfRule type="cellIs" dxfId="129" priority="17217" operator="equal">
      <formula>"NO VÁLIDA"</formula>
    </cfRule>
    <cfRule type="cellIs" dxfId="128" priority="17218" operator="equal">
      <formula>"VÁLIDA"</formula>
    </cfRule>
  </conditionalFormatting>
  <conditionalFormatting sqref="K27">
    <cfRule type="cellIs" dxfId="127" priority="12480" operator="equal">
      <formula>"PARA REVISIÓN"</formula>
    </cfRule>
    <cfRule type="cellIs" dxfId="126" priority="12481" operator="equal">
      <formula>"CUMPLE"</formula>
    </cfRule>
  </conditionalFormatting>
  <conditionalFormatting sqref="K28">
    <cfRule type="cellIs" dxfId="125" priority="12478" operator="equal">
      <formula>"NO VÁLIDA"</formula>
    </cfRule>
    <cfRule type="cellIs" dxfId="124" priority="12479" operator="equal">
      <formula>"VÁLIDA"</formula>
    </cfRule>
  </conditionalFormatting>
  <conditionalFormatting sqref="K31">
    <cfRule type="cellIs" dxfId="123" priority="5577" operator="equal">
      <formula>"NO VÁLIDA"</formula>
    </cfRule>
    <cfRule type="cellIs" dxfId="122" priority="5578" operator="equal">
      <formula>"VÁLIDA"</formula>
    </cfRule>
  </conditionalFormatting>
  <conditionalFormatting sqref="K83">
    <cfRule type="cellIs" dxfId="121" priority="5290" operator="equal">
      <formula>"NO VÁLIDA"</formula>
    </cfRule>
    <cfRule type="cellIs" dxfId="120" priority="5291" operator="equal">
      <formula>"VÁLIDA"</formula>
    </cfRule>
  </conditionalFormatting>
  <conditionalFormatting sqref="K33">
    <cfRule type="cellIs" dxfId="119" priority="4036" operator="equal">
      <formula>"NO VÁLIDA"</formula>
    </cfRule>
    <cfRule type="cellIs" dxfId="118" priority="4037" operator="equal">
      <formula>"VÁLIDA"</formula>
    </cfRule>
  </conditionalFormatting>
  <conditionalFormatting sqref="K32">
    <cfRule type="cellIs" dxfId="117" priority="1712" operator="equal">
      <formula>"PARA REVISIÓN"</formula>
    </cfRule>
    <cfRule type="cellIs" dxfId="116" priority="1713" operator="equal">
      <formula>"CUMPLE"</formula>
    </cfRule>
  </conditionalFormatting>
  <conditionalFormatting sqref="K82">
    <cfRule type="cellIs" dxfId="115" priority="1708" operator="equal">
      <formula>"PARA REVISIÓN"</formula>
    </cfRule>
    <cfRule type="cellIs" dxfId="114" priority="1709" operator="equal">
      <formula>"CUMPLE"</formula>
    </cfRule>
  </conditionalFormatting>
  <conditionalFormatting sqref="K95">
    <cfRule type="cellIs" dxfId="113" priority="1704" operator="equal">
      <formula>"NO VÁLIDA"</formula>
    </cfRule>
    <cfRule type="cellIs" dxfId="112" priority="1705" operator="equal">
      <formula>"VÁLIDA"</formula>
    </cfRule>
  </conditionalFormatting>
  <conditionalFormatting sqref="K36">
    <cfRule type="cellIs" dxfId="111" priority="926" operator="equal">
      <formula>"NO VÁLIDA"</formula>
    </cfRule>
    <cfRule type="cellIs" dxfId="110" priority="927" operator="equal">
      <formula>"VÁLIDA"</formula>
    </cfRule>
  </conditionalFormatting>
  <conditionalFormatting sqref="K64">
    <cfRule type="cellIs" dxfId="109" priority="924" operator="equal">
      <formula>"NO VÁLIDA"</formula>
    </cfRule>
    <cfRule type="cellIs" dxfId="108" priority="925" operator="equal">
      <formula>"VÁLIDA"</formula>
    </cfRule>
  </conditionalFormatting>
  <conditionalFormatting sqref="K35">
    <cfRule type="cellIs" dxfId="107" priority="922" operator="equal">
      <formula>"PARA REVISIÓN"</formula>
    </cfRule>
    <cfRule type="cellIs" dxfId="106" priority="923" operator="equal">
      <formula>"CUMPLE"</formula>
    </cfRule>
  </conditionalFormatting>
  <conditionalFormatting sqref="K80">
    <cfRule type="cellIs" dxfId="105" priority="920" operator="equal">
      <formula>"NO VÁLIDA"</formula>
    </cfRule>
    <cfRule type="cellIs" dxfId="104" priority="921" operator="equal">
      <formula>"VÁLIDA"</formula>
    </cfRule>
  </conditionalFormatting>
  <conditionalFormatting sqref="K81">
    <cfRule type="cellIs" dxfId="103" priority="918" operator="equal">
      <formula>"NO VÁLIDA"</formula>
    </cfRule>
    <cfRule type="cellIs" dxfId="102" priority="919" operator="equal">
      <formula>"VÁLIDA"</formula>
    </cfRule>
  </conditionalFormatting>
  <conditionalFormatting sqref="K79">
    <cfRule type="cellIs" dxfId="101" priority="916" operator="equal">
      <formula>"PARA REVISIÓN"</formula>
    </cfRule>
    <cfRule type="cellIs" dxfId="100" priority="917" operator="equal">
      <formula>"CUMPLE"</formula>
    </cfRule>
  </conditionalFormatting>
  <conditionalFormatting sqref="K85">
    <cfRule type="cellIs" dxfId="99" priority="902" operator="equal">
      <formula>"NO VÁLIDA"</formula>
    </cfRule>
    <cfRule type="cellIs" dxfId="98" priority="903" operator="equal">
      <formula>"VÁLIDA"</formula>
    </cfRule>
  </conditionalFormatting>
  <conditionalFormatting sqref="K86">
    <cfRule type="cellIs" dxfId="97" priority="448" operator="equal">
      <formula>"NO VÁLIDA"</formula>
    </cfRule>
    <cfRule type="cellIs" dxfId="96" priority="449" operator="equal">
      <formula>"VÁLIDA"</formula>
    </cfRule>
  </conditionalFormatting>
  <conditionalFormatting sqref="K84">
    <cfRule type="cellIs" dxfId="95" priority="446" operator="equal">
      <formula>"NO VÁLIDA"</formula>
    </cfRule>
    <cfRule type="cellIs" dxfId="94" priority="447" operator="equal">
      <formula>"VÁLIDA"</formula>
    </cfRule>
  </conditionalFormatting>
  <conditionalFormatting sqref="K89">
    <cfRule type="cellIs" dxfId="93" priority="444" operator="equal">
      <formula>"PARA REVISIÓN"</formula>
    </cfRule>
    <cfRule type="cellIs" dxfId="92" priority="445" operator="equal">
      <formula>"CUMPLE"</formula>
    </cfRule>
  </conditionalFormatting>
  <conditionalFormatting sqref="K96">
    <cfRule type="cellIs" dxfId="91" priority="442" operator="equal">
      <formula>"NO VÁLIDA"</formula>
    </cfRule>
    <cfRule type="cellIs" dxfId="90" priority="443" operator="equal">
      <formula>"VÁLIDA"</formula>
    </cfRule>
  </conditionalFormatting>
  <conditionalFormatting sqref="K16:K26">
    <cfRule type="cellIs" dxfId="89" priority="281" operator="equal">
      <formula>"NO VÁLIDA"</formula>
    </cfRule>
    <cfRule type="cellIs" dxfId="88" priority="282" operator="equal">
      <formula>"VÁLIDA"</formula>
    </cfRule>
  </conditionalFormatting>
  <conditionalFormatting sqref="K29">
    <cfRule type="cellIs" dxfId="87" priority="279" operator="equal">
      <formula>"NO VÁLIDA"</formula>
    </cfRule>
    <cfRule type="cellIs" dxfId="86" priority="280" operator="equal">
      <formula>"VÁLIDA"</formula>
    </cfRule>
  </conditionalFormatting>
  <conditionalFormatting sqref="K37:K50">
    <cfRule type="cellIs" dxfId="85" priority="277" operator="equal">
      <formula>"NO VÁLIDA"</formula>
    </cfRule>
    <cfRule type="cellIs" dxfId="84" priority="278" operator="equal">
      <formula>"VÁLIDA"</formula>
    </cfRule>
  </conditionalFormatting>
  <conditionalFormatting sqref="K66">
    <cfRule type="cellIs" dxfId="83" priority="275" operator="equal">
      <formula>"NO VÁLIDA"</formula>
    </cfRule>
    <cfRule type="cellIs" dxfId="82" priority="276" operator="equal">
      <formula>"VÁLIDA"</formula>
    </cfRule>
  </conditionalFormatting>
  <conditionalFormatting sqref="K78">
    <cfRule type="cellIs" dxfId="81" priority="273" operator="equal">
      <formula>"NO VÁLIDA"</formula>
    </cfRule>
    <cfRule type="cellIs" dxfId="80" priority="274" operator="equal">
      <formula>"VÁLIDA"</formula>
    </cfRule>
  </conditionalFormatting>
  <conditionalFormatting sqref="K65">
    <cfRule type="cellIs" dxfId="79" priority="271" operator="equal">
      <formula>"PARA REVISIÓN"</formula>
    </cfRule>
    <cfRule type="cellIs" dxfId="78" priority="272" operator="equal">
      <formula>"CUMPLE"</formula>
    </cfRule>
  </conditionalFormatting>
  <conditionalFormatting sqref="K67:K77">
    <cfRule type="cellIs" dxfId="77" priority="269" operator="equal">
      <formula>"NO VÁLIDA"</formula>
    </cfRule>
    <cfRule type="cellIs" dxfId="76" priority="270" operator="equal">
      <formula>"VÁLIDA"</formula>
    </cfRule>
  </conditionalFormatting>
  <conditionalFormatting sqref="N90 Q90 T90 W90 Z90 AC90 N92:N94 Q92:Q94 T92:T94 W92:W94 Z92:Z94 AC92:AC94 N97 Q97 T97 W97 Z97 AC97 N87:N88 Q87:Q88 T87:T88 W87:W88 Z87:Z88 AC87:AC88">
    <cfRule type="cellIs" dxfId="75" priority="66" operator="equal">
      <formula>"PARA REVISIÓN"</formula>
    </cfRule>
    <cfRule type="cellIs" dxfId="74" priority="67" operator="equal">
      <formula>"CUMPLE"</formula>
    </cfRule>
  </conditionalFormatting>
  <conditionalFormatting sqref="N30 Q30 T30 W30 Z30 AC30 N51:N63 Q51:Q63 T51:T63 W51:W63 Z51:Z63 AC51:AC63 N34 Q34 T34 W34 Z34 AC34">
    <cfRule type="cellIs" dxfId="73" priority="64" operator="equal">
      <formula>"NO VÁLIDA"</formula>
    </cfRule>
    <cfRule type="cellIs" dxfId="72" priority="65" operator="equal">
      <formula>"VÁLIDA"</formula>
    </cfRule>
  </conditionalFormatting>
  <conditionalFormatting sqref="N91 Q91 T91 W91 Z91 AC91">
    <cfRule type="cellIs" dxfId="71" priority="62" operator="equal">
      <formula>"NO VÁLIDA"</formula>
    </cfRule>
    <cfRule type="cellIs" dxfId="70" priority="63" operator="equal">
      <formula>"VÁLIDA"</formula>
    </cfRule>
  </conditionalFormatting>
  <conditionalFormatting sqref="M98 P98 S98 V98 Y98 AB98">
    <cfRule type="cellIs" dxfId="69" priority="59" operator="equal">
      <formula>"RECHAZO"</formula>
    </cfRule>
    <cfRule type="cellIs" dxfId="68" priority="60" operator="equal">
      <formula>"NO ADMISIBLE"</formula>
    </cfRule>
    <cfRule type="cellIs" dxfId="67" priority="61" operator="notBetween">
      <formula>"RECHAZO"</formula>
      <formula>"NO ADMISIBLE"</formula>
    </cfRule>
  </conditionalFormatting>
  <conditionalFormatting sqref="N98 Q98 T98 W98 Z98 AC98">
    <cfRule type="cellIs" dxfId="66" priority="57" operator="equal">
      <formula>"NO VÁLIDA"</formula>
    </cfRule>
    <cfRule type="cellIs" dxfId="65" priority="58" operator="equal">
      <formula>"VÁLIDA"</formula>
    </cfRule>
  </conditionalFormatting>
  <conditionalFormatting sqref="N14 Q14 T14 W14 Z14 AC14">
    <cfRule type="cellIs" dxfId="64" priority="55" operator="equal">
      <formula>"PARA REVISIÓN"</formula>
    </cfRule>
    <cfRule type="cellIs" dxfId="63" priority="56" operator="equal">
      <formula>"CUMPLE"</formula>
    </cfRule>
  </conditionalFormatting>
  <conditionalFormatting sqref="N15 Q15 T15 W15 Z15 AC15">
    <cfRule type="cellIs" dxfId="62" priority="53" operator="equal">
      <formula>"NO VÁLIDA"</formula>
    </cfRule>
    <cfRule type="cellIs" dxfId="61" priority="54" operator="equal">
      <formula>"VÁLIDA"</formula>
    </cfRule>
  </conditionalFormatting>
  <conditionalFormatting sqref="N27 Q27 T27 W27 Z27 AC27">
    <cfRule type="cellIs" dxfId="60" priority="51" operator="equal">
      <formula>"PARA REVISIÓN"</formula>
    </cfRule>
    <cfRule type="cellIs" dxfId="59" priority="52" operator="equal">
      <formula>"CUMPLE"</formula>
    </cfRule>
  </conditionalFormatting>
  <conditionalFormatting sqref="N28 Q28 T28 W28 Z28 AC28">
    <cfRule type="cellIs" dxfId="58" priority="49" operator="equal">
      <formula>"NO VÁLIDA"</formula>
    </cfRule>
    <cfRule type="cellIs" dxfId="57" priority="50" operator="equal">
      <formula>"VÁLIDA"</formula>
    </cfRule>
  </conditionalFormatting>
  <conditionalFormatting sqref="N31 Q31 T31 W31 Z31 AC31">
    <cfRule type="cellIs" dxfId="56" priority="47" operator="equal">
      <formula>"NO VÁLIDA"</formula>
    </cfRule>
    <cfRule type="cellIs" dxfId="55" priority="48" operator="equal">
      <formula>"VÁLIDA"</formula>
    </cfRule>
  </conditionalFormatting>
  <conditionalFormatting sqref="N83 Q83 T83 W83 Z83 AC83">
    <cfRule type="cellIs" dxfId="54" priority="45" operator="equal">
      <formula>"NO VÁLIDA"</formula>
    </cfRule>
    <cfRule type="cellIs" dxfId="53" priority="46" operator="equal">
      <formula>"VÁLIDA"</formula>
    </cfRule>
  </conditionalFormatting>
  <conditionalFormatting sqref="N33 Q33 T33 W33 Z33 AC33">
    <cfRule type="cellIs" dxfId="52" priority="43" operator="equal">
      <formula>"NO VÁLIDA"</formula>
    </cfRule>
    <cfRule type="cellIs" dxfId="51" priority="44" operator="equal">
      <formula>"VÁLIDA"</formula>
    </cfRule>
  </conditionalFormatting>
  <conditionalFormatting sqref="N32 Q32 T32 W32 Z32 AC32">
    <cfRule type="cellIs" dxfId="50" priority="41" operator="equal">
      <formula>"PARA REVISIÓN"</formula>
    </cfRule>
    <cfRule type="cellIs" dxfId="49" priority="42" operator="equal">
      <formula>"CUMPLE"</formula>
    </cfRule>
  </conditionalFormatting>
  <conditionalFormatting sqref="N82 Q82 T82 W82 Z82 AC82">
    <cfRule type="cellIs" dxfId="48" priority="39" operator="equal">
      <formula>"PARA REVISIÓN"</formula>
    </cfRule>
    <cfRule type="cellIs" dxfId="47" priority="40" operator="equal">
      <formula>"CUMPLE"</formula>
    </cfRule>
  </conditionalFormatting>
  <conditionalFormatting sqref="N95 Q95 T95 W95 Z95 AC95">
    <cfRule type="cellIs" dxfId="46" priority="37" operator="equal">
      <formula>"NO VÁLIDA"</formula>
    </cfRule>
    <cfRule type="cellIs" dxfId="45" priority="38" operator="equal">
      <formula>"VÁLIDA"</formula>
    </cfRule>
  </conditionalFormatting>
  <conditionalFormatting sqref="N36 Q36 T36 W36 Z36 AC36">
    <cfRule type="cellIs" dxfId="44" priority="35" operator="equal">
      <formula>"NO VÁLIDA"</formula>
    </cfRule>
    <cfRule type="cellIs" dxfId="43" priority="36" operator="equal">
      <formula>"VÁLIDA"</formula>
    </cfRule>
  </conditionalFormatting>
  <conditionalFormatting sqref="N64 Q64 T64 W64 Z64 AC64">
    <cfRule type="cellIs" dxfId="42" priority="33" operator="equal">
      <formula>"NO VÁLIDA"</formula>
    </cfRule>
    <cfRule type="cellIs" dxfId="41" priority="34" operator="equal">
      <formula>"VÁLIDA"</formula>
    </cfRule>
  </conditionalFormatting>
  <conditionalFormatting sqref="N35 Q35 T35 W35 Z35 AC35">
    <cfRule type="cellIs" dxfId="40" priority="31" operator="equal">
      <formula>"PARA REVISIÓN"</formula>
    </cfRule>
    <cfRule type="cellIs" dxfId="39" priority="32" operator="equal">
      <formula>"CUMPLE"</formula>
    </cfRule>
  </conditionalFormatting>
  <conditionalFormatting sqref="N80 Q80 T80 W80 Z80 AC80">
    <cfRule type="cellIs" dxfId="38" priority="29" operator="equal">
      <formula>"NO VÁLIDA"</formula>
    </cfRule>
    <cfRule type="cellIs" dxfId="37" priority="30" operator="equal">
      <formula>"VÁLIDA"</formula>
    </cfRule>
  </conditionalFormatting>
  <conditionalFormatting sqref="N81 Q81 T81 W81 Z81 AC81">
    <cfRule type="cellIs" dxfId="36" priority="27" operator="equal">
      <formula>"NO VÁLIDA"</formula>
    </cfRule>
    <cfRule type="cellIs" dxfId="35" priority="28" operator="equal">
      <formula>"VÁLIDA"</formula>
    </cfRule>
  </conditionalFormatting>
  <conditionalFormatting sqref="N79 Q79 T79 W79 Z79 AC79">
    <cfRule type="cellIs" dxfId="34" priority="25" operator="equal">
      <formula>"PARA REVISIÓN"</formula>
    </cfRule>
    <cfRule type="cellIs" dxfId="33" priority="26" operator="equal">
      <formula>"CUMPLE"</formula>
    </cfRule>
  </conditionalFormatting>
  <conditionalFormatting sqref="N85 Q85 T85 W85 Z85 AC85">
    <cfRule type="cellIs" dxfId="32" priority="23" operator="equal">
      <formula>"NO VÁLIDA"</formula>
    </cfRule>
    <cfRule type="cellIs" dxfId="31" priority="24" operator="equal">
      <formula>"VÁLIDA"</formula>
    </cfRule>
  </conditionalFormatting>
  <conditionalFormatting sqref="N86 Q86 T86 W86 Z86 AC86">
    <cfRule type="cellIs" dxfId="30" priority="21" operator="equal">
      <formula>"NO VÁLIDA"</formula>
    </cfRule>
    <cfRule type="cellIs" dxfId="29" priority="22" operator="equal">
      <formula>"VÁLIDA"</formula>
    </cfRule>
  </conditionalFormatting>
  <conditionalFormatting sqref="N84 Q84 T84 W84 Z84 AC84">
    <cfRule type="cellIs" dxfId="28" priority="19" operator="equal">
      <formula>"NO VÁLIDA"</formula>
    </cfRule>
    <cfRule type="cellIs" dxfId="27" priority="20" operator="equal">
      <formula>"VÁLIDA"</formula>
    </cfRule>
  </conditionalFormatting>
  <conditionalFormatting sqref="N89 Q89 T89 W89 Z89 AC89">
    <cfRule type="cellIs" dxfId="26" priority="17" operator="equal">
      <formula>"PARA REVISIÓN"</formula>
    </cfRule>
    <cfRule type="cellIs" dxfId="25" priority="18" operator="equal">
      <formula>"CUMPLE"</formula>
    </cfRule>
  </conditionalFormatting>
  <conditionalFormatting sqref="N96 Q96 T96 W96 Z96 AC96">
    <cfRule type="cellIs" dxfId="24" priority="15" operator="equal">
      <formula>"NO VÁLIDA"</formula>
    </cfRule>
    <cfRule type="cellIs" dxfId="23" priority="16" operator="equal">
      <formula>"VÁLIDA"</formula>
    </cfRule>
  </conditionalFormatting>
  <conditionalFormatting sqref="N16:N26 Q16:Q26 T16:T26 W16:W26 Z16:Z26 AC16:AC26">
    <cfRule type="cellIs" dxfId="22" priority="13" operator="equal">
      <formula>"NO VÁLIDA"</formula>
    </cfRule>
    <cfRule type="cellIs" dxfId="21" priority="14" operator="equal">
      <formula>"VÁLIDA"</formula>
    </cfRule>
  </conditionalFormatting>
  <conditionalFormatting sqref="N29 Q29 T29 W29 Z29 AC29">
    <cfRule type="cellIs" dxfId="20" priority="11" operator="equal">
      <formula>"NO VÁLIDA"</formula>
    </cfRule>
    <cfRule type="cellIs" dxfId="19" priority="12" operator="equal">
      <formula>"VÁLIDA"</formula>
    </cfRule>
  </conditionalFormatting>
  <conditionalFormatting sqref="N37:N50 Q37:Q50 T37:T50 W37:W50 Z37:Z50 AC37:AC50">
    <cfRule type="cellIs" dxfId="18" priority="9" operator="equal">
      <formula>"NO VÁLIDA"</formula>
    </cfRule>
    <cfRule type="cellIs" dxfId="17" priority="10" operator="equal">
      <formula>"VÁLIDA"</formula>
    </cfRule>
  </conditionalFormatting>
  <conditionalFormatting sqref="N66 Q66 T66 W66 Z66 AC66">
    <cfRule type="cellIs" dxfId="16" priority="7" operator="equal">
      <formula>"NO VÁLIDA"</formula>
    </cfRule>
    <cfRule type="cellIs" dxfId="15" priority="8" operator="equal">
      <formula>"VÁLIDA"</formula>
    </cfRule>
  </conditionalFormatting>
  <conditionalFormatting sqref="N78 Q78 T78 W78 Z78 AC78">
    <cfRule type="cellIs" dxfId="14" priority="5" operator="equal">
      <formula>"NO VÁLIDA"</formula>
    </cfRule>
    <cfRule type="cellIs" dxfId="13" priority="6" operator="equal">
      <formula>"VÁLIDA"</formula>
    </cfRule>
  </conditionalFormatting>
  <conditionalFormatting sqref="N65 Q65 T65 W65 Z65 AC65">
    <cfRule type="cellIs" dxfId="12" priority="3" operator="equal">
      <formula>"PARA REVISIÓN"</formula>
    </cfRule>
    <cfRule type="cellIs" dxfId="11" priority="4" operator="equal">
      <formula>"CUMPLE"</formula>
    </cfRule>
  </conditionalFormatting>
  <conditionalFormatting sqref="N67:N77 Q67:Q77 T67:T77 W67:W77 Z67:Z77 AC67:AC77">
    <cfRule type="cellIs" dxfId="10" priority="1" operator="equal">
      <formula>"NO VÁLIDA"</formula>
    </cfRule>
    <cfRule type="cellIs" dxfId="9" priority="2" operator="equal">
      <formula>"VÁLIDA"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1200" verticalDpi="1200" r:id="rId1"/>
  <headerFooter alignWithMargins="0">
    <oddFooter>&amp;L&amp;9&amp;F
&amp;A&amp;C&amp;P de &amp;N&amp;R&amp;9INSTITUTO NACIONAL DE VIAS
&amp;D</oddFooter>
  </headerFooter>
  <ignoredErrors>
    <ignoredError sqref="H99:H103 I99:K9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-0.499984740745262"/>
    <pageSetUpPr fitToPage="1"/>
  </sheetPr>
  <dimension ref="B1:AL80"/>
  <sheetViews>
    <sheetView showGridLines="0" topLeftCell="A7" zoomScale="90" zoomScaleNormal="90" workbookViewId="0">
      <selection activeCell="H14" sqref="H14"/>
    </sheetView>
  </sheetViews>
  <sheetFormatPr baseColWidth="10" defaultColWidth="11.42578125" defaultRowHeight="12.75" outlineLevelRow="1" x14ac:dyDescent="0.2"/>
  <cols>
    <col min="1" max="1" width="2.7109375" style="43" customWidth="1"/>
    <col min="2" max="3" width="8.28515625" style="43" customWidth="1"/>
    <col min="4" max="4" width="44.28515625" style="43" customWidth="1"/>
    <col min="5" max="5" width="21.5703125" style="43" customWidth="1"/>
    <col min="6" max="6" width="20.7109375" style="43" customWidth="1"/>
    <col min="7" max="7" width="15.42578125" style="43" bestFit="1" customWidth="1"/>
    <col min="8" max="8" width="28.7109375" style="45" bestFit="1" customWidth="1"/>
    <col min="9" max="9" width="13.7109375" style="41" hidden="1" customWidth="1"/>
    <col min="10" max="10" width="13.7109375" style="42" hidden="1" customWidth="1"/>
    <col min="11" max="13" width="13.7109375" style="43" hidden="1" customWidth="1"/>
    <col min="14" max="14" width="19.5703125" style="43" bestFit="1" customWidth="1"/>
    <col min="15" max="15" width="50" style="45" bestFit="1" customWidth="1"/>
    <col min="16" max="16" width="22.28515625" style="45" bestFit="1" customWidth="1"/>
    <col min="17" max="38" width="22.28515625" style="43" bestFit="1" customWidth="1"/>
    <col min="39" max="16384" width="11.42578125" style="43"/>
  </cols>
  <sheetData>
    <row r="1" spans="2:17" ht="18" x14ac:dyDescent="0.2">
      <c r="B1" s="325" t="str">
        <f>RESUMEN!B1</f>
        <v>FIDUPREVISORA</v>
      </c>
      <c r="C1" s="325"/>
      <c r="D1" s="325"/>
      <c r="E1" s="325"/>
      <c r="F1" s="325"/>
      <c r="G1" s="325"/>
      <c r="H1" s="325"/>
    </row>
    <row r="2" spans="2:17" x14ac:dyDescent="0.2">
      <c r="B2" s="326"/>
      <c r="C2" s="326"/>
      <c r="D2" s="326"/>
      <c r="E2" s="326"/>
      <c r="F2" s="326"/>
      <c r="G2" s="326"/>
      <c r="H2" s="326"/>
    </row>
    <row r="3" spans="2:17" x14ac:dyDescent="0.2">
      <c r="B3" s="326" t="str">
        <f>RESUMEN!B3</f>
        <v>PATRIMONIO AUTÓNOMO FIDEICOMISO ECOPETROL ZOMAC (en adelante PATRIMONIO AUTÓNOMO) FIDUCIARIA LA PREVISORA S.A.</v>
      </c>
      <c r="C3" s="326"/>
      <c r="D3" s="326"/>
      <c r="E3" s="326"/>
      <c r="F3" s="326"/>
      <c r="G3" s="326"/>
      <c r="H3" s="326"/>
    </row>
    <row r="4" spans="2:17" x14ac:dyDescent="0.2">
      <c r="B4" s="326"/>
      <c r="C4" s="326"/>
      <c r="D4" s="326"/>
      <c r="E4" s="326"/>
      <c r="F4" s="326"/>
      <c r="G4" s="326"/>
      <c r="H4" s="326"/>
    </row>
    <row r="5" spans="2:17" x14ac:dyDescent="0.2">
      <c r="B5" s="326" t="str">
        <f>RESUMEN!B5</f>
        <v>LICITACIÓN PRIVADA ABIERTA N° 006 DE 2018</v>
      </c>
      <c r="C5" s="326"/>
      <c r="D5" s="326"/>
      <c r="E5" s="326"/>
      <c r="F5" s="326"/>
      <c r="G5" s="326"/>
      <c r="H5" s="326"/>
    </row>
    <row r="6" spans="2:17" ht="15.75" x14ac:dyDescent="0.2">
      <c r="B6" s="49"/>
      <c r="C6" s="49"/>
      <c r="D6" s="44"/>
      <c r="E6" s="44"/>
      <c r="F6" s="44"/>
      <c r="G6" s="44"/>
      <c r="H6" s="44"/>
    </row>
    <row r="7" spans="2:17" x14ac:dyDescent="0.2">
      <c r="B7" s="326" t="str">
        <f>RESUMEN!B7</f>
        <v>PROYECTO No. 1: MEJORAMIENTO VÍA EL PAUJIL - CARTAGENA DEL CHAIRÁ; ETAPA 2 DEPARTAMENTO DEL CAQUETÁ VINCULADOS AL CONTRIBUYENTE ECOPETROL S.A. DENTRO DEL MARCO MECANISMO DE OBRAS POR IMPUESTO</v>
      </c>
      <c r="C7" s="326"/>
      <c r="D7" s="326"/>
      <c r="E7" s="326"/>
      <c r="F7" s="326"/>
      <c r="G7" s="326"/>
      <c r="H7" s="326"/>
    </row>
    <row r="8" spans="2:17" ht="15.75" x14ac:dyDescent="0.2">
      <c r="B8" s="49"/>
      <c r="C8" s="49"/>
      <c r="D8" s="44"/>
      <c r="E8" s="44"/>
      <c r="F8" s="44"/>
      <c r="G8" s="44"/>
      <c r="H8" s="44"/>
    </row>
    <row r="9" spans="2:17" ht="15.75" customHeight="1" x14ac:dyDescent="0.2">
      <c r="B9" s="343" t="s">
        <v>22</v>
      </c>
      <c r="C9" s="343"/>
      <c r="D9" s="343"/>
      <c r="E9" s="343"/>
      <c r="F9" s="343"/>
      <c r="G9" s="343"/>
      <c r="H9" s="343"/>
    </row>
    <row r="10" spans="2:17" ht="16.5" customHeight="1" x14ac:dyDescent="0.2">
      <c r="B10" s="376" t="s">
        <v>23</v>
      </c>
      <c r="C10" s="376"/>
      <c r="D10" s="376"/>
      <c r="E10" s="376"/>
      <c r="F10" s="376"/>
      <c r="G10" s="376"/>
      <c r="H10" s="376"/>
      <c r="Q10"/>
    </row>
    <row r="11" spans="2:17" ht="16.5" thickBot="1" x14ac:dyDescent="0.25">
      <c r="B11" s="50"/>
      <c r="C11" s="50"/>
      <c r="D11" s="44"/>
      <c r="E11" s="44"/>
      <c r="F11" s="44"/>
      <c r="G11" s="44"/>
      <c r="H11" s="44"/>
    </row>
    <row r="12" spans="2:17" ht="15.75" thickBot="1" x14ac:dyDescent="0.25">
      <c r="B12" s="395" t="s">
        <v>40</v>
      </c>
      <c r="C12" s="396"/>
      <c r="D12" s="396"/>
      <c r="E12" s="396"/>
      <c r="F12" s="396"/>
      <c r="G12" s="396"/>
      <c r="H12" s="397"/>
      <c r="O12" s="289" t="s">
        <v>119</v>
      </c>
    </row>
    <row r="13" spans="2:17" ht="13.5" thickBot="1" x14ac:dyDescent="0.25">
      <c r="B13" s="86" t="s">
        <v>89</v>
      </c>
      <c r="C13" s="87"/>
      <c r="D13" s="88"/>
      <c r="E13" s="88"/>
      <c r="F13" s="88"/>
      <c r="G13" s="119" t="s">
        <v>41</v>
      </c>
      <c r="H13" s="120">
        <v>3196.3</v>
      </c>
      <c r="O13" s="206">
        <v>3</v>
      </c>
    </row>
    <row r="14" spans="2:17" ht="13.5" thickBot="1" x14ac:dyDescent="0.25">
      <c r="B14" s="89"/>
      <c r="C14" s="87"/>
      <c r="D14" s="88"/>
      <c r="E14" s="88"/>
      <c r="F14" s="88"/>
      <c r="G14" s="119" t="s">
        <v>42</v>
      </c>
      <c r="H14" s="121">
        <f>100*(H13-INT(H13))</f>
        <v>30.00000000001819</v>
      </c>
    </row>
    <row r="15" spans="2:17" ht="15.75" thickBot="1" x14ac:dyDescent="0.25">
      <c r="B15" s="90" t="s">
        <v>74</v>
      </c>
      <c r="C15" s="91"/>
      <c r="D15" s="92"/>
      <c r="E15" s="406" t="str">
        <f>IF(OR($O$13=1,$O$16="NO APLICA"),IF(AND(H14&gt;=0,H14&lt;=33),"MEDIA ARITMETICA",IF(AND(H14&gt;=34,H14&lt;=66),"MEDIA ARITMETICA ALTA",IF(AND(H14&gt;=67,H14&lt;=99),"MEDIA GEOMETRICA CON PRESUPUESTO ESTIMADO","MENOR VALOR"))),IF(O16="MEDIA ARITMÉTICA","MEDIA ARITMETICA ALTA",IF(O16="MEDIA ARITMÉTICA ALTA","MEDIA GEOMETRICA CON PRESUPUESTO ESTIMADO",IF(O16="MEDIA GEOMÉTRICA CON PRESUPUESTO ESTIMADO","MEDIA ARITMETICA"))))</f>
        <v>MEDIA ARITMETICA</v>
      </c>
      <c r="F15" s="406"/>
      <c r="G15" s="406"/>
      <c r="H15" s="407"/>
      <c r="O15" s="289" t="s">
        <v>84</v>
      </c>
    </row>
    <row r="16" spans="2:17" ht="16.5" thickBot="1" x14ac:dyDescent="0.25">
      <c r="B16" s="50"/>
      <c r="C16" s="50"/>
      <c r="D16" s="44"/>
      <c r="E16" s="44"/>
      <c r="F16" s="44"/>
      <c r="G16" s="44"/>
      <c r="H16" s="44"/>
      <c r="O16" s="206" t="s">
        <v>88</v>
      </c>
    </row>
    <row r="17" spans="2:16" ht="15.6" customHeight="1" x14ac:dyDescent="0.2">
      <c r="B17" s="395" t="s">
        <v>43</v>
      </c>
      <c r="C17" s="396"/>
      <c r="D17" s="396"/>
      <c r="E17" s="396"/>
      <c r="F17" s="396"/>
      <c r="G17" s="396"/>
      <c r="H17" s="397"/>
    </row>
    <row r="18" spans="2:16" outlineLevel="1" x14ac:dyDescent="0.2">
      <c r="B18" s="89"/>
      <c r="C18" s="97"/>
      <c r="D18" s="93"/>
      <c r="E18" s="94"/>
      <c r="F18" s="94"/>
      <c r="G18" s="97" t="s">
        <v>44</v>
      </c>
      <c r="H18" s="105">
        <f>COUNT(E44:E50)</f>
        <v>3</v>
      </c>
    </row>
    <row r="19" spans="2:16" outlineLevel="1" x14ac:dyDescent="0.2">
      <c r="B19" s="98"/>
      <c r="C19" s="97"/>
      <c r="D19" s="93"/>
      <c r="E19" s="94"/>
      <c r="F19" s="94"/>
      <c r="G19" s="97" t="s">
        <v>48</v>
      </c>
      <c r="H19" s="108">
        <f>IF(H18=0,0,MIN(E44:E50))</f>
        <v>28986854614</v>
      </c>
    </row>
    <row r="20" spans="2:16" outlineLevel="1" x14ac:dyDescent="0.2">
      <c r="B20" s="98"/>
      <c r="C20" s="97"/>
      <c r="D20" s="93"/>
      <c r="E20" s="94"/>
      <c r="F20" s="94"/>
      <c r="G20" s="97" t="s">
        <v>49</v>
      </c>
      <c r="H20" s="108">
        <f>IF(H18=0,0,MAX(E44:E50))</f>
        <v>29190377088</v>
      </c>
    </row>
    <row r="21" spans="2:16" outlineLevel="1" x14ac:dyDescent="0.2">
      <c r="B21" s="89"/>
      <c r="C21" s="99"/>
      <c r="D21" s="93"/>
      <c r="E21" s="94"/>
      <c r="F21" s="94"/>
      <c r="G21" s="97" t="s">
        <v>55</v>
      </c>
      <c r="H21" s="108">
        <f>IF(H18=0,0,AVERAGE(E44:E50))</f>
        <v>29093835928.333332</v>
      </c>
    </row>
    <row r="22" spans="2:16" outlineLevel="1" x14ac:dyDescent="0.2">
      <c r="B22" s="89"/>
      <c r="C22" s="99"/>
      <c r="D22" s="93"/>
      <c r="E22" s="94"/>
      <c r="F22" s="94"/>
      <c r="G22" s="97" t="s">
        <v>56</v>
      </c>
      <c r="H22" s="108">
        <f>IF(H18=0,0,MEDIAN(E44:E50))</f>
        <v>29104276083</v>
      </c>
    </row>
    <row r="23" spans="2:16" outlineLevel="1" x14ac:dyDescent="0.2">
      <c r="B23" s="89"/>
      <c r="C23" s="99"/>
      <c r="D23" s="93"/>
      <c r="E23" s="94"/>
      <c r="F23" s="94"/>
      <c r="G23" s="97" t="s">
        <v>57</v>
      </c>
      <c r="H23" s="108">
        <f>IF(OR(H18=0,H18=1),0,STDEV(E44:E50))</f>
        <v>102162111.26375625</v>
      </c>
    </row>
    <row r="24" spans="2:16" outlineLevel="1" x14ac:dyDescent="0.2">
      <c r="B24" s="100"/>
      <c r="C24" s="101"/>
      <c r="D24" s="93"/>
      <c r="E24" s="94"/>
      <c r="F24" s="94"/>
      <c r="G24" s="97" t="s">
        <v>58</v>
      </c>
      <c r="H24" s="108">
        <f>'VR-PROP'!$H$98</f>
        <v>29287109546</v>
      </c>
    </row>
    <row r="25" spans="2:16" ht="13.5" outlineLevel="1" thickBot="1" x14ac:dyDescent="0.25">
      <c r="B25" s="102"/>
      <c r="C25" s="103"/>
      <c r="D25" s="95"/>
      <c r="E25" s="96"/>
      <c r="F25" s="96"/>
      <c r="G25" s="104" t="s">
        <v>45</v>
      </c>
      <c r="H25" s="106">
        <v>900</v>
      </c>
    </row>
    <row r="26" spans="2:16" customFormat="1" ht="13.5" outlineLevel="1" thickBot="1" x14ac:dyDescent="0.25">
      <c r="O26" s="203"/>
      <c r="P26" s="203"/>
    </row>
    <row r="27" spans="2:16" ht="16.149999999999999" customHeight="1" outlineLevel="1" x14ac:dyDescent="0.2">
      <c r="B27" s="379" t="s">
        <v>59</v>
      </c>
      <c r="C27" s="380"/>
      <c r="D27" s="380"/>
      <c r="E27" s="380"/>
      <c r="F27" s="380"/>
      <c r="G27" s="380"/>
      <c r="H27" s="381"/>
    </row>
    <row r="28" spans="2:16" outlineLevel="1" x14ac:dyDescent="0.2">
      <c r="B28" s="398" t="s">
        <v>46</v>
      </c>
      <c r="C28" s="399"/>
      <c r="D28" s="399"/>
      <c r="E28" s="399"/>
      <c r="F28" s="399"/>
      <c r="G28" s="400"/>
      <c r="H28" s="107">
        <f>H21</f>
        <v>29093835928.333332</v>
      </c>
    </row>
    <row r="29" spans="2:16" ht="15" outlineLevel="1" x14ac:dyDescent="0.2">
      <c r="B29" s="382" t="s">
        <v>60</v>
      </c>
      <c r="C29" s="383"/>
      <c r="D29" s="383"/>
      <c r="E29" s="383"/>
      <c r="F29" s="383"/>
      <c r="G29" s="383"/>
      <c r="H29" s="384"/>
    </row>
    <row r="30" spans="2:16" outlineLevel="1" x14ac:dyDescent="0.2">
      <c r="B30" s="398" t="s">
        <v>47</v>
      </c>
      <c r="C30" s="399"/>
      <c r="D30" s="399"/>
      <c r="E30" s="399"/>
      <c r="F30" s="399"/>
      <c r="G30" s="400"/>
      <c r="H30" s="107">
        <f>AVERAGE(H20,H21)</f>
        <v>29142106508.166664</v>
      </c>
    </row>
    <row r="31" spans="2:16" ht="15" outlineLevel="1" x14ac:dyDescent="0.2">
      <c r="B31" s="382" t="s">
        <v>124</v>
      </c>
      <c r="C31" s="383"/>
      <c r="D31" s="383"/>
      <c r="E31" s="383"/>
      <c r="F31" s="383"/>
      <c r="G31" s="383"/>
      <c r="H31" s="384"/>
    </row>
    <row r="32" spans="2:16" outlineLevel="1" x14ac:dyDescent="0.2">
      <c r="B32" s="398" t="s">
        <v>125</v>
      </c>
      <c r="C32" s="399"/>
      <c r="D32" s="399"/>
      <c r="E32" s="399"/>
      <c r="F32" s="399"/>
      <c r="G32" s="400"/>
      <c r="H32" s="107">
        <f>IF(H18=0,0,ROUNDUP(H18/3,0))</f>
        <v>1</v>
      </c>
    </row>
    <row r="33" spans="2:34" ht="13.5" hidden="1" outlineLevel="1" x14ac:dyDescent="0.2">
      <c r="B33" s="398" t="s">
        <v>75</v>
      </c>
      <c r="C33" s="399"/>
      <c r="D33" s="399"/>
      <c r="E33" s="399"/>
      <c r="F33" s="399"/>
      <c r="G33" s="400"/>
      <c r="H33" s="109">
        <f>IF(H18=0,0,PRODUCT(F44:F50))</f>
        <v>24626.211161199186</v>
      </c>
      <c r="I33" s="159"/>
    </row>
    <row r="34" spans="2:34" ht="13.5" hidden="1" outlineLevel="1" x14ac:dyDescent="0.2">
      <c r="B34" s="398" t="s">
        <v>76</v>
      </c>
      <c r="C34" s="399"/>
      <c r="D34" s="399"/>
      <c r="E34" s="399"/>
      <c r="F34" s="399"/>
      <c r="G34" s="400"/>
      <c r="H34" s="109">
        <f>POWER(H24/1000000000,H32)</f>
        <v>29.287109546</v>
      </c>
      <c r="I34" s="159"/>
    </row>
    <row r="35" spans="2:34" ht="13.15" customHeight="1" outlineLevel="1" thickBot="1" x14ac:dyDescent="0.25">
      <c r="B35" s="403" t="s">
        <v>126</v>
      </c>
      <c r="C35" s="404"/>
      <c r="D35" s="404"/>
      <c r="E35" s="404"/>
      <c r="F35" s="404"/>
      <c r="G35" s="405"/>
      <c r="H35" s="110">
        <f>IF(H18=0,0,1000000000*POWER(H33*H34,1/(H18+H32)))</f>
        <v>29141944562.188797</v>
      </c>
      <c r="I35" s="160"/>
    </row>
    <row r="36" spans="2:34" outlineLevel="1" x14ac:dyDescent="0.2">
      <c r="B36" s="122"/>
      <c r="C36" s="122"/>
      <c r="D36" s="122"/>
      <c r="E36" s="122"/>
      <c r="F36" s="122"/>
      <c r="G36" s="122"/>
      <c r="H36" s="123"/>
      <c r="I36"/>
    </row>
    <row r="37" spans="2:34" ht="16.5" outlineLevel="1" thickBot="1" x14ac:dyDescent="0.3">
      <c r="B37" s="82"/>
      <c r="C37" s="82"/>
      <c r="D37" s="82"/>
      <c r="E37" s="83"/>
      <c r="F37" s="83"/>
      <c r="G37" s="44"/>
      <c r="H37" s="44"/>
      <c r="I37"/>
    </row>
    <row r="38" spans="2:34" s="42" customFormat="1" ht="40.5" customHeight="1" thickBot="1" x14ac:dyDescent="0.25">
      <c r="B38" s="401" t="s">
        <v>61</v>
      </c>
      <c r="C38" s="402"/>
      <c r="D38" s="402"/>
      <c r="E38" s="385" t="str">
        <f>E15</f>
        <v>MEDIA ARITMETICA</v>
      </c>
      <c r="F38" s="385"/>
      <c r="G38" s="385"/>
      <c r="H38" s="293">
        <f>IF(E38="MEDIA ARITMETICA",H28,IF(E38="MEDIA ARITMETICA ALTA",H30,IF(E38="MEDIA GEOMETRICA CON PRESUPUESTO ESTIMADO",H35,IF(E38="MENOR VALOR",#REF!,""))))</f>
        <v>29093835928.333332</v>
      </c>
      <c r="I38" s="158"/>
      <c r="O38" s="204"/>
      <c r="P38" s="204"/>
    </row>
    <row r="39" spans="2:34" ht="15.75" x14ac:dyDescent="0.25">
      <c r="B39" s="82"/>
      <c r="C39" s="82"/>
      <c r="D39" s="82"/>
      <c r="E39" s="83"/>
      <c r="F39" s="83"/>
      <c r="G39" s="44"/>
      <c r="H39" s="44"/>
      <c r="I39"/>
    </row>
    <row r="40" spans="2:34" ht="16.5" thickBot="1" x14ac:dyDescent="0.25">
      <c r="B40" s="50"/>
      <c r="C40" s="50"/>
      <c r="D40" s="44"/>
      <c r="E40" s="44"/>
      <c r="F40" s="44"/>
      <c r="G40" s="44"/>
      <c r="H40" s="44"/>
    </row>
    <row r="41" spans="2:34" ht="15" x14ac:dyDescent="0.2">
      <c r="B41" s="386" t="s">
        <v>63</v>
      </c>
      <c r="C41" s="387"/>
      <c r="D41" s="387"/>
      <c r="E41" s="387"/>
      <c r="F41" s="387"/>
      <c r="G41" s="387"/>
      <c r="H41" s="388"/>
    </row>
    <row r="42" spans="2:34" ht="60" outlineLevel="1" x14ac:dyDescent="0.2">
      <c r="B42" s="410" t="s">
        <v>36</v>
      </c>
      <c r="C42" s="412" t="s">
        <v>11</v>
      </c>
      <c r="D42" s="414" t="s">
        <v>5</v>
      </c>
      <c r="E42" s="294" t="s">
        <v>120</v>
      </c>
      <c r="F42" s="294" t="s">
        <v>24</v>
      </c>
      <c r="G42" s="294" t="s">
        <v>26</v>
      </c>
      <c r="H42" s="295" t="s">
        <v>4</v>
      </c>
      <c r="I42" s="389" t="s">
        <v>54</v>
      </c>
      <c r="J42" s="377" t="s">
        <v>50</v>
      </c>
      <c r="K42" s="377" t="s">
        <v>51</v>
      </c>
      <c r="L42" s="377" t="s">
        <v>52</v>
      </c>
      <c r="M42" s="377" t="s">
        <v>53</v>
      </c>
      <c r="AE42" s="43" t="str">
        <f>UPPER(Q42)</f>
        <v/>
      </c>
      <c r="AF42" s="43" t="str">
        <f>UPPER(R42)</f>
        <v/>
      </c>
      <c r="AG42" s="43" t="str">
        <f>UPPER(S42)</f>
        <v/>
      </c>
      <c r="AH42" s="43" t="str">
        <f>UPPER(T42)</f>
        <v/>
      </c>
    </row>
    <row r="43" spans="2:34" ht="22.5" customHeight="1" outlineLevel="1" thickBot="1" x14ac:dyDescent="0.25">
      <c r="B43" s="411"/>
      <c r="C43" s="413"/>
      <c r="D43" s="415"/>
      <c r="E43" s="296" t="s">
        <v>25</v>
      </c>
      <c r="F43" s="296" t="s">
        <v>77</v>
      </c>
      <c r="G43" s="296" t="s">
        <v>13</v>
      </c>
      <c r="H43" s="297" t="s">
        <v>62</v>
      </c>
      <c r="I43" s="390"/>
      <c r="J43" s="378"/>
      <c r="K43" s="378"/>
      <c r="L43" s="378"/>
      <c r="M43" s="378"/>
    </row>
    <row r="44" spans="2:34" ht="26.25" customHeight="1" outlineLevel="1" x14ac:dyDescent="0.2">
      <c r="B44" s="183">
        <v>1</v>
      </c>
      <c r="C44" s="184">
        <f>RESUMEN!C15</f>
        <v>4</v>
      </c>
      <c r="D44" s="185" t="str">
        <f>VLOOKUP(C44,RESUMEN!$C$15:$D$21,2,0)</f>
        <v>MAQUINARIA INGENIERIA CONSTRUCCIÓN Y OBRAS S.A.S</v>
      </c>
      <c r="E44" s="186">
        <f>IF(ISTEXT('VR-PROP'!$J$98),"DESCARTADO",'VR-PROP'!$J$98)</f>
        <v>29190377088</v>
      </c>
      <c r="F44" s="187">
        <f>IF(ISTEXT(E44),"",E44/1000000000)</f>
        <v>29.190377088000002</v>
      </c>
      <c r="G44" s="230">
        <f>IF(E44="DESCARTADO","DESCARTADO",(E44/$H$24)-1)</f>
        <v>-3.3029021811820103E-3</v>
      </c>
      <c r="H44" s="209">
        <f>IF(E44="DESCARTADO","DESCARTADO",IF(E44&lt;=$H$38,$H$25*(1-($H$38-E44)/$H$38),$H$25*(1-2*ABS($H$38-E44)/$H$38)))</f>
        <v>894.02711667763379</v>
      </c>
      <c r="I44" s="84">
        <f t="shared" ref="I44:I50" si="0">IF(ISTEXT(E44),"",E44/$H$24)</f>
        <v>0.99669709781881799</v>
      </c>
      <c r="J44" s="85">
        <f t="shared" ref="J44:J50" si="1">IF(ISTEXT(E44),"",E44/$H$28)</f>
        <v>1.0033182685124258</v>
      </c>
      <c r="K44" s="85">
        <f t="shared" ref="K44:K50" si="2">IF(ISTEXT(E44),"",E44/$H$30)</f>
        <v>1.0016563860893106</v>
      </c>
      <c r="L44" s="85">
        <f>IF(ISTEXT(E44),"",E44/$H$35)</f>
        <v>1.0016619524379318</v>
      </c>
      <c r="M44" s="85" t="e">
        <f>IF(ISTEXT(E44),"",E44/#REF!)</f>
        <v>#REF!</v>
      </c>
      <c r="N44" s="246">
        <f t="shared" ref="N44:N50" si="3">IF(E44="DESCARTADO","",COUNTIF($E$44:$E$50,E44))</f>
        <v>1</v>
      </c>
      <c r="O44" s="247" t="e">
        <f>IF(E44="DESCARTADO","",ABS(E44-E45))</f>
        <v>#VALUE!</v>
      </c>
      <c r="P44" s="228"/>
    </row>
    <row r="45" spans="2:34" ht="26.25" customHeight="1" outlineLevel="1" x14ac:dyDescent="0.2">
      <c r="B45" s="188">
        <v>2</v>
      </c>
      <c r="C45" s="189">
        <f>RESUMEN!C16</f>
        <v>8</v>
      </c>
      <c r="D45" s="190" t="str">
        <f>VLOOKUP(C45,RESUMEN!$C$15:$D$21,2,0)</f>
        <v>CONSORCIO VÍAS PG</v>
      </c>
      <c r="E45" s="191" t="str">
        <f>IF(ISTEXT('VR-PROP'!$M$98),"DESCARTADO",'VR-PROP'!$M$98)</f>
        <v>DESCARTADO</v>
      </c>
      <c r="F45" s="192" t="str">
        <f t="shared" ref="F45:F50" si="4">IF(ISTEXT(E45),"",E45/1000000000)</f>
        <v/>
      </c>
      <c r="G45" s="231" t="str">
        <f t="shared" ref="G45:G50" si="5">IF(E45="DESCARTADO","DESCARTADO",(E45/$H$24)-1)</f>
        <v>DESCARTADO</v>
      </c>
      <c r="H45" s="209" t="str">
        <f t="shared" ref="H45:H50" si="6">IF(E45="DESCARTADO","DESCARTADO",IF(E45&lt;=$H$38,$H$25*(1-($H$38-E45)/$H$38),$H$25*(1-2*ABS($H$38-E45)/$H$38)))</f>
        <v>DESCARTADO</v>
      </c>
      <c r="I45" s="84" t="str">
        <f t="shared" si="0"/>
        <v/>
      </c>
      <c r="J45" s="85" t="str">
        <f t="shared" si="1"/>
        <v/>
      </c>
      <c r="K45" s="85" t="str">
        <f t="shared" si="2"/>
        <v/>
      </c>
      <c r="L45" s="85" t="str">
        <f t="shared" ref="L45:L50" si="7">IF(ISTEXT(E45),"",E45/$H$35)</f>
        <v/>
      </c>
      <c r="M45" s="85" t="str">
        <f>IF(ISTEXT(E45),"",E45/#REF!)</f>
        <v/>
      </c>
      <c r="N45" s="246" t="str">
        <f t="shared" si="3"/>
        <v/>
      </c>
      <c r="O45" s="247" t="str">
        <f t="shared" ref="O45:O49" si="8">IF(E45="DESCARTADO","",ABS(E45-E46))</f>
        <v/>
      </c>
      <c r="P45" s="228"/>
    </row>
    <row r="46" spans="2:34" ht="26.25" customHeight="1" outlineLevel="1" x14ac:dyDescent="0.2">
      <c r="B46" s="188">
        <v>3</v>
      </c>
      <c r="C46" s="189">
        <f>RESUMEN!C17</f>
        <v>10</v>
      </c>
      <c r="D46" s="190" t="str">
        <f>VLOOKUP(C46,RESUMEN!$C$15:$D$21,2,0)</f>
        <v xml:space="preserve">CONSORCIO PUERTA DEL SOL </v>
      </c>
      <c r="E46" s="191" t="str">
        <f>IF(ISTEXT('VR-PROP'!$P$98),"DESCARTADO",'VR-PROP'!$P$98)</f>
        <v>DESCARTADO</v>
      </c>
      <c r="F46" s="192" t="str">
        <f t="shared" si="4"/>
        <v/>
      </c>
      <c r="G46" s="231" t="str">
        <f t="shared" si="5"/>
        <v>DESCARTADO</v>
      </c>
      <c r="H46" s="209" t="str">
        <f t="shared" si="6"/>
        <v>DESCARTADO</v>
      </c>
      <c r="I46" s="84" t="str">
        <f t="shared" si="0"/>
        <v/>
      </c>
      <c r="J46" s="85" t="str">
        <f t="shared" si="1"/>
        <v/>
      </c>
      <c r="K46" s="85" t="str">
        <f t="shared" si="2"/>
        <v/>
      </c>
      <c r="L46" s="85" t="str">
        <f t="shared" si="7"/>
        <v/>
      </c>
      <c r="M46" s="85" t="str">
        <f>IF(ISTEXT(E46),"",E46/#REF!)</f>
        <v/>
      </c>
      <c r="N46" s="246" t="str">
        <f t="shared" si="3"/>
        <v/>
      </c>
      <c r="O46" s="247" t="str">
        <f>IF(E46="DESCARTADO","",ABS(E46-#REF!))</f>
        <v/>
      </c>
      <c r="P46" s="228"/>
    </row>
    <row r="47" spans="2:34" ht="26.25" customHeight="1" outlineLevel="1" x14ac:dyDescent="0.2">
      <c r="B47" s="188">
        <v>4</v>
      </c>
      <c r="C47" s="189">
        <f>RESUMEN!C18</f>
        <v>22</v>
      </c>
      <c r="D47" s="190" t="str">
        <f>VLOOKUP(C47,RESUMEN!$C$15:$D$21,2,0)</f>
        <v>UNIÓN TEMPORAL VÍA PAUCAR II</v>
      </c>
      <c r="E47" s="191">
        <f>IF(ISTEXT('VR-PROP'!$S$98),"DESCARTADO",'VR-PROP'!$S$98)</f>
        <v>29104276083</v>
      </c>
      <c r="F47" s="192">
        <f t="shared" si="4"/>
        <v>29.104276082999998</v>
      </c>
      <c r="G47" s="231">
        <f t="shared" si="5"/>
        <v>-6.2427964327729235E-3</v>
      </c>
      <c r="H47" s="209">
        <f t="shared" si="6"/>
        <v>899.35408041599283</v>
      </c>
      <c r="I47" s="84">
        <f t="shared" si="0"/>
        <v>0.99375720356722708</v>
      </c>
      <c r="J47" s="85">
        <f t="shared" si="1"/>
        <v>1.0003588442133373</v>
      </c>
      <c r="K47" s="85">
        <f t="shared" si="2"/>
        <v>0.99870186373946368</v>
      </c>
      <c r="L47" s="85">
        <f t="shared" si="7"/>
        <v>0.9987074136693791</v>
      </c>
      <c r="M47" s="85" t="e">
        <f>IF(ISTEXT(E47),"",E47/#REF!)</f>
        <v>#REF!</v>
      </c>
      <c r="N47" s="246">
        <f t="shared" si="3"/>
        <v>1</v>
      </c>
      <c r="O47" s="247" t="e">
        <f t="shared" si="8"/>
        <v>#VALUE!</v>
      </c>
      <c r="P47" s="228"/>
    </row>
    <row r="48" spans="2:34" ht="26.25" customHeight="1" outlineLevel="1" x14ac:dyDescent="0.2">
      <c r="B48" s="188">
        <v>5</v>
      </c>
      <c r="C48" s="189">
        <f>RESUMEN!C19</f>
        <v>26</v>
      </c>
      <c r="D48" s="190" t="str">
        <f>VLOOKUP(C48,RESUMEN!$C$15:$D$21,2,0)</f>
        <v>CONSORCIO VÍAS COLOMBIA 006</v>
      </c>
      <c r="E48" s="191" t="str">
        <f>IF(ISTEXT('VR-PROP'!$V$98),"DESCARTADO",'VR-PROP'!$V$98)</f>
        <v>DESCARTADO</v>
      </c>
      <c r="F48" s="192" t="str">
        <f t="shared" si="4"/>
        <v/>
      </c>
      <c r="G48" s="231" t="str">
        <f t="shared" si="5"/>
        <v>DESCARTADO</v>
      </c>
      <c r="H48" s="209" t="str">
        <f t="shared" si="6"/>
        <v>DESCARTADO</v>
      </c>
      <c r="I48" s="84" t="str">
        <f t="shared" si="0"/>
        <v/>
      </c>
      <c r="J48" s="85" t="str">
        <f t="shared" si="1"/>
        <v/>
      </c>
      <c r="K48" s="85" t="str">
        <f t="shared" si="2"/>
        <v/>
      </c>
      <c r="L48" s="85" t="str">
        <f t="shared" si="7"/>
        <v/>
      </c>
      <c r="M48" s="85" t="str">
        <f>IF(ISTEXT(E48),"",E48/#REF!)</f>
        <v/>
      </c>
      <c r="N48" s="246" t="str">
        <f t="shared" si="3"/>
        <v/>
      </c>
      <c r="O48" s="247" t="str">
        <f t="shared" si="8"/>
        <v/>
      </c>
      <c r="P48" s="228"/>
    </row>
    <row r="49" spans="2:16" ht="26.25" customHeight="1" outlineLevel="1" x14ac:dyDescent="0.2">
      <c r="B49" s="188">
        <v>6</v>
      </c>
      <c r="C49" s="189">
        <f>RESUMEN!C20</f>
        <v>29</v>
      </c>
      <c r="D49" s="190" t="str">
        <f>VLOOKUP(C49,RESUMEN!$C$15:$D$21,2,0)</f>
        <v>CONSORCIO VÍAS COLOMBIA 2019</v>
      </c>
      <c r="E49" s="191" t="str">
        <f>IF(ISTEXT('VR-PROP'!$Y$98),"DESCARTADO",'VR-PROP'!$Y$98)</f>
        <v>DESCARTADO</v>
      </c>
      <c r="F49" s="192" t="str">
        <f t="shared" si="4"/>
        <v/>
      </c>
      <c r="G49" s="231" t="str">
        <f t="shared" si="5"/>
        <v>DESCARTADO</v>
      </c>
      <c r="H49" s="209" t="str">
        <f t="shared" si="6"/>
        <v>DESCARTADO</v>
      </c>
      <c r="I49" s="84" t="str">
        <f t="shared" si="0"/>
        <v/>
      </c>
      <c r="J49" s="85" t="str">
        <f t="shared" si="1"/>
        <v/>
      </c>
      <c r="K49" s="85" t="str">
        <f t="shared" si="2"/>
        <v/>
      </c>
      <c r="L49" s="85" t="str">
        <f t="shared" si="7"/>
        <v/>
      </c>
      <c r="M49" s="85" t="str">
        <f>IF(ISTEXT(E49),"",E49/#REF!)</f>
        <v/>
      </c>
      <c r="N49" s="246" t="str">
        <f t="shared" si="3"/>
        <v/>
      </c>
      <c r="O49" s="247" t="str">
        <f t="shared" si="8"/>
        <v/>
      </c>
      <c r="P49" s="228"/>
    </row>
    <row r="50" spans="2:16" ht="26.25" customHeight="1" outlineLevel="1" x14ac:dyDescent="0.2">
      <c r="B50" s="188">
        <v>7</v>
      </c>
      <c r="C50" s="189">
        <f>RESUMEN!C21</f>
        <v>31</v>
      </c>
      <c r="D50" s="190" t="str">
        <f>VLOOKUP(C50,RESUMEN!$C$15:$D$21,2,0)</f>
        <v>CONSORCIO RUTA NACIONAL 2018</v>
      </c>
      <c r="E50" s="191">
        <f>IF(ISTEXT('VR-PROP'!$AB$98),"DESCARTADO",'VR-PROP'!$AB$98)</f>
        <v>28986854614</v>
      </c>
      <c r="F50" s="192">
        <f t="shared" si="4"/>
        <v>28.986854613999999</v>
      </c>
      <c r="G50" s="231">
        <f t="shared" si="5"/>
        <v>-1.0252118992091108E-2</v>
      </c>
      <c r="H50" s="209">
        <f t="shared" si="6"/>
        <v>896.69059854681336</v>
      </c>
      <c r="I50" s="84">
        <f t="shared" si="0"/>
        <v>0.98974788100790889</v>
      </c>
      <c r="J50" s="85">
        <f t="shared" si="1"/>
        <v>0.99632288727423712</v>
      </c>
      <c r="K50" s="85">
        <f t="shared" si="2"/>
        <v>0.99467259190329438</v>
      </c>
      <c r="L50" s="85">
        <f t="shared" si="7"/>
        <v>0.99467811944196671</v>
      </c>
      <c r="M50" s="85" t="e">
        <f>IF(ISTEXT(E50),"",E50/#REF!)</f>
        <v>#REF!</v>
      </c>
      <c r="N50" s="246">
        <f t="shared" si="3"/>
        <v>1</v>
      </c>
      <c r="O50" s="247" t="e">
        <f>IF(E50="DESCARTADO","",ABS(E50-#REF!))</f>
        <v>#REF!</v>
      </c>
      <c r="P50" s="228"/>
    </row>
    <row r="51" spans="2:16" customFormat="1" ht="13.5" outlineLevel="1" thickBot="1" x14ac:dyDescent="0.25">
      <c r="N51" s="222"/>
      <c r="O51" s="205"/>
      <c r="P51" s="203"/>
    </row>
    <row r="52" spans="2:16" customFormat="1" ht="15" x14ac:dyDescent="0.2">
      <c r="B52" s="386" t="s">
        <v>64</v>
      </c>
      <c r="C52" s="387"/>
      <c r="D52" s="387"/>
      <c r="E52" s="387"/>
      <c r="F52" s="387"/>
      <c r="G52" s="387"/>
      <c r="H52" s="388"/>
      <c r="O52" s="205"/>
      <c r="P52" s="203"/>
    </row>
    <row r="53" spans="2:16" customFormat="1" x14ac:dyDescent="0.2">
      <c r="B53" s="408" t="s">
        <v>65</v>
      </c>
      <c r="C53" s="409"/>
      <c r="D53" s="409"/>
      <c r="E53" s="409"/>
      <c r="F53" s="409"/>
      <c r="G53" s="409"/>
      <c r="H53" s="298" t="s">
        <v>66</v>
      </c>
      <c r="O53" s="203"/>
      <c r="P53" s="203"/>
    </row>
    <row r="54" spans="2:16" customFormat="1" x14ac:dyDescent="0.2">
      <c r="B54" s="393" t="s">
        <v>67</v>
      </c>
      <c r="C54" s="394"/>
      <c r="D54" s="394"/>
      <c r="E54" s="394"/>
      <c r="F54" s="394"/>
      <c r="G54" s="394"/>
      <c r="H54" s="112">
        <f>COUNTIF(H44:H50,"DESCARTADO")</f>
        <v>4</v>
      </c>
      <c r="L54" s="43"/>
      <c r="M54" s="43"/>
      <c r="O54" s="203"/>
      <c r="P54" s="203"/>
    </row>
    <row r="55" spans="2:16" ht="13.15" customHeight="1" x14ac:dyDescent="0.2">
      <c r="B55" s="393" t="s">
        <v>69</v>
      </c>
      <c r="C55" s="394"/>
      <c r="D55" s="394"/>
      <c r="E55" s="394"/>
      <c r="F55" s="394"/>
      <c r="G55" s="394"/>
      <c r="H55" s="113">
        <f>COUNTIF(E44:E50,"&lt;="&amp;H38)</f>
        <v>1</v>
      </c>
      <c r="I55"/>
      <c r="J55"/>
      <c r="K55"/>
    </row>
    <row r="56" spans="2:16" ht="13.15" customHeight="1" x14ac:dyDescent="0.2">
      <c r="B56" s="393" t="s">
        <v>68</v>
      </c>
      <c r="C56" s="394"/>
      <c r="D56" s="394"/>
      <c r="E56" s="394"/>
      <c r="F56" s="394"/>
      <c r="G56" s="394"/>
      <c r="H56" s="113">
        <f>COUNTIF(E44:E50,"&gt;"&amp;H38)</f>
        <v>2</v>
      </c>
      <c r="I56"/>
      <c r="J56"/>
      <c r="K56"/>
    </row>
    <row r="57" spans="2:16" ht="13.15" customHeight="1" x14ac:dyDescent="0.2">
      <c r="B57" s="393" t="s">
        <v>70</v>
      </c>
      <c r="C57" s="394"/>
      <c r="D57" s="394"/>
      <c r="E57" s="394"/>
      <c r="F57" s="394"/>
      <c r="G57" s="394"/>
      <c r="H57" s="114">
        <f>DMIN(G42:H50,1,G61:H62)</f>
        <v>-6.2427964327729235E-3</v>
      </c>
      <c r="I57"/>
      <c r="J57"/>
      <c r="K57"/>
      <c r="L57"/>
      <c r="M57"/>
      <c r="N57"/>
    </row>
    <row r="58" spans="2:16" ht="13.9" customHeight="1" x14ac:dyDescent="0.2">
      <c r="B58" s="393" t="s">
        <v>72</v>
      </c>
      <c r="C58" s="394"/>
      <c r="D58" s="394"/>
      <c r="E58" s="394"/>
      <c r="F58" s="394"/>
      <c r="G58" s="394"/>
      <c r="H58" s="118">
        <f>IF(H18=0,"",DGET(C42:H50,1,H61:H62))</f>
        <v>22</v>
      </c>
      <c r="I58"/>
      <c r="J58"/>
      <c r="K58"/>
      <c r="L58"/>
      <c r="M58"/>
      <c r="N58"/>
    </row>
    <row r="59" spans="2:16" s="42" customFormat="1" ht="26.25" thickBot="1" x14ac:dyDescent="0.25">
      <c r="B59" s="391" t="s">
        <v>71</v>
      </c>
      <c r="C59" s="392"/>
      <c r="D59" s="392"/>
      <c r="E59" s="392"/>
      <c r="F59" s="392"/>
      <c r="G59" s="392"/>
      <c r="H59" s="115" t="str">
        <f>IF(H18=0,"",DGET(C42:M50,2,H61:H62))</f>
        <v>UNIÓN TEMPORAL VÍA PAUCAR II</v>
      </c>
      <c r="I59" s="158"/>
      <c r="J59" s="158"/>
      <c r="K59" s="158"/>
      <c r="L59" s="158"/>
      <c r="M59" s="158"/>
      <c r="N59" s="158"/>
      <c r="O59" s="204"/>
      <c r="P59" s="204"/>
    </row>
    <row r="60" spans="2:16" ht="13.5" customHeight="1" x14ac:dyDescent="0.2">
      <c r="B60"/>
      <c r="C60"/>
      <c r="D60"/>
      <c r="E60"/>
      <c r="F60"/>
      <c r="H60" s="43"/>
      <c r="I60" s="43"/>
      <c r="J60"/>
      <c r="K60"/>
      <c r="L60"/>
      <c r="M60"/>
      <c r="N60"/>
    </row>
    <row r="61" spans="2:16" ht="22.5" hidden="1" x14ac:dyDescent="0.2">
      <c r="B61"/>
      <c r="C61"/>
      <c r="D61"/>
      <c r="E61"/>
      <c r="F61"/>
      <c r="G61" s="116" t="s">
        <v>26</v>
      </c>
      <c r="H61" s="116" t="s">
        <v>4</v>
      </c>
      <c r="I61" s="43"/>
      <c r="J61"/>
      <c r="K61"/>
      <c r="L61"/>
      <c r="M61"/>
      <c r="N61"/>
    </row>
    <row r="62" spans="2:16" ht="13.5" hidden="1" customHeight="1" thickBot="1" x14ac:dyDescent="0.25">
      <c r="B62"/>
      <c r="C62"/>
      <c r="D62"/>
      <c r="E62"/>
      <c r="F62"/>
      <c r="G62" s="47" t="s">
        <v>14</v>
      </c>
      <c r="H62" s="117">
        <f>MAX(H44:H50)</f>
        <v>899.35408041599283</v>
      </c>
      <c r="I62" s="43"/>
      <c r="J62"/>
      <c r="K62"/>
      <c r="L62"/>
      <c r="M62"/>
      <c r="N62"/>
    </row>
    <row r="63" spans="2:16" x14ac:dyDescent="0.2">
      <c r="B63"/>
      <c r="C63"/>
      <c r="D63"/>
      <c r="E63"/>
      <c r="F63"/>
      <c r="H63" s="43"/>
      <c r="I63" s="43"/>
      <c r="J63"/>
      <c r="K63"/>
      <c r="L63"/>
      <c r="M63"/>
      <c r="N63"/>
    </row>
    <row r="64" spans="2:16" ht="13.5" customHeight="1" x14ac:dyDescent="0.2">
      <c r="B64"/>
      <c r="C64"/>
      <c r="D64"/>
      <c r="E64"/>
      <c r="F64"/>
      <c r="H64" s="43"/>
      <c r="I64" s="43"/>
      <c r="J64"/>
      <c r="K64"/>
      <c r="L64"/>
      <c r="M64"/>
      <c r="N64"/>
    </row>
    <row r="65" spans="2:38" ht="13.5" customHeight="1" x14ac:dyDescent="0.2">
      <c r="B65"/>
      <c r="C65"/>
      <c r="D65"/>
      <c r="E65"/>
      <c r="F65"/>
      <c r="H65" s="43"/>
      <c r="I65" s="43"/>
      <c r="J65"/>
      <c r="K65"/>
      <c r="L65"/>
      <c r="M65"/>
      <c r="N65"/>
    </row>
    <row r="66" spans="2:38" ht="13.5" customHeight="1" x14ac:dyDescent="0.2">
      <c r="B66"/>
      <c r="C66"/>
      <c r="D66"/>
      <c r="E66"/>
      <c r="F66"/>
      <c r="H66" s="43"/>
      <c r="I66" s="43"/>
      <c r="J66"/>
      <c r="K66"/>
      <c r="L66"/>
      <c r="M66"/>
      <c r="N66"/>
    </row>
    <row r="67" spans="2:38" ht="16.5" customHeight="1" x14ac:dyDescent="0.2">
      <c r="B67"/>
      <c r="C67"/>
      <c r="D67"/>
      <c r="E67"/>
      <c r="F67"/>
      <c r="H67" s="43"/>
      <c r="I67" s="43"/>
      <c r="J67"/>
      <c r="K67"/>
      <c r="L67"/>
      <c r="M67"/>
      <c r="N67"/>
    </row>
    <row r="68" spans="2:38" s="224" customFormat="1" x14ac:dyDescent="0.2">
      <c r="B68" s="223"/>
      <c r="C68" s="223"/>
      <c r="J68" s="225"/>
      <c r="K68" s="223"/>
      <c r="L68" s="223"/>
      <c r="M68" s="223"/>
      <c r="N68" s="223"/>
      <c r="O68" s="226"/>
      <c r="P68" s="226"/>
      <c r="Q68" s="227">
        <v>246500889410</v>
      </c>
      <c r="R68" s="227">
        <v>242851543086</v>
      </c>
      <c r="S68" s="227">
        <v>255815367666</v>
      </c>
      <c r="T68" s="227">
        <v>229461585210</v>
      </c>
      <c r="U68" s="227">
        <v>251294023456</v>
      </c>
      <c r="V68" s="227">
        <v>256143018798</v>
      </c>
      <c r="W68" s="227">
        <v>254559622968</v>
      </c>
      <c r="X68" s="227">
        <v>259137028741</v>
      </c>
      <c r="Y68" s="227">
        <v>248849829575</v>
      </c>
      <c r="Z68" s="227">
        <v>246405951109</v>
      </c>
      <c r="AA68" s="227">
        <v>241537467742</v>
      </c>
      <c r="AB68" s="227">
        <v>248820873611</v>
      </c>
      <c r="AC68" s="227">
        <v>236679277932</v>
      </c>
      <c r="AD68" s="227">
        <v>231590047547</v>
      </c>
      <c r="AE68" s="227">
        <v>227321068593</v>
      </c>
      <c r="AF68" s="227">
        <v>249585224523</v>
      </c>
      <c r="AG68" s="227">
        <v>259120341261</v>
      </c>
      <c r="AH68" s="227">
        <v>250076291918</v>
      </c>
      <c r="AI68" s="227">
        <v>260048521564</v>
      </c>
      <c r="AJ68" s="227">
        <v>239541109341</v>
      </c>
      <c r="AK68" s="227">
        <v>250814634168</v>
      </c>
      <c r="AL68" s="227">
        <v>242211742393</v>
      </c>
    </row>
    <row r="69" spans="2:38" x14ac:dyDescent="0.2">
      <c r="K69"/>
      <c r="L69"/>
      <c r="M69"/>
      <c r="N69"/>
    </row>
    <row r="70" spans="2:38" x14ac:dyDescent="0.2">
      <c r="G70" s="46"/>
      <c r="K70"/>
      <c r="L70"/>
      <c r="M70"/>
      <c r="N70"/>
    </row>
    <row r="71" spans="2:38" x14ac:dyDescent="0.2">
      <c r="K71"/>
      <c r="L71"/>
      <c r="M71"/>
      <c r="N71"/>
    </row>
    <row r="72" spans="2:38" x14ac:dyDescent="0.2">
      <c r="K72"/>
      <c r="L72"/>
      <c r="M72"/>
      <c r="N72"/>
    </row>
    <row r="73" spans="2:38" x14ac:dyDescent="0.2">
      <c r="K73"/>
      <c r="L73"/>
      <c r="M73"/>
      <c r="N73"/>
    </row>
    <row r="74" spans="2:38" x14ac:dyDescent="0.2">
      <c r="K74"/>
      <c r="L74"/>
      <c r="M74"/>
      <c r="N74"/>
    </row>
    <row r="75" spans="2:38" x14ac:dyDescent="0.2">
      <c r="K75"/>
      <c r="L75"/>
      <c r="M75"/>
      <c r="N75"/>
    </row>
    <row r="76" spans="2:38" x14ac:dyDescent="0.2">
      <c r="K76"/>
      <c r="L76"/>
      <c r="M76"/>
      <c r="N76"/>
    </row>
    <row r="77" spans="2:38" x14ac:dyDescent="0.2">
      <c r="K77"/>
      <c r="L77"/>
      <c r="M77"/>
      <c r="N77"/>
    </row>
    <row r="78" spans="2:38" x14ac:dyDescent="0.2">
      <c r="K78"/>
      <c r="L78"/>
      <c r="M78"/>
      <c r="N78"/>
    </row>
    <row r="79" spans="2:38" x14ac:dyDescent="0.2">
      <c r="K79"/>
      <c r="L79"/>
      <c r="M79"/>
      <c r="N79"/>
    </row>
    <row r="80" spans="2:38" x14ac:dyDescent="0.2">
      <c r="K80"/>
      <c r="L80"/>
      <c r="M80"/>
      <c r="N80"/>
    </row>
  </sheetData>
  <sheetProtection selectLockedCells="1"/>
  <dataConsolidate/>
  <mergeCells count="39">
    <mergeCell ref="B55:G55"/>
    <mergeCell ref="B56:G56"/>
    <mergeCell ref="B42:B43"/>
    <mergeCell ref="C42:C43"/>
    <mergeCell ref="D42:D43"/>
    <mergeCell ref="B59:G59"/>
    <mergeCell ref="B58:G58"/>
    <mergeCell ref="B12:H12"/>
    <mergeCell ref="B28:G28"/>
    <mergeCell ref="B30:G30"/>
    <mergeCell ref="B17:H17"/>
    <mergeCell ref="B38:D38"/>
    <mergeCell ref="B32:G32"/>
    <mergeCell ref="B33:G33"/>
    <mergeCell ref="B34:G34"/>
    <mergeCell ref="B35:G35"/>
    <mergeCell ref="E15:H15"/>
    <mergeCell ref="B52:H52"/>
    <mergeCell ref="B57:G57"/>
    <mergeCell ref="B53:G53"/>
    <mergeCell ref="B54:G54"/>
    <mergeCell ref="M42:M43"/>
    <mergeCell ref="B27:H27"/>
    <mergeCell ref="B29:H29"/>
    <mergeCell ref="B31:H31"/>
    <mergeCell ref="E38:G38"/>
    <mergeCell ref="L42:L43"/>
    <mergeCell ref="K42:K43"/>
    <mergeCell ref="B41:H41"/>
    <mergeCell ref="I42:I43"/>
    <mergeCell ref="J42:J43"/>
    <mergeCell ref="B7:H7"/>
    <mergeCell ref="B9:H9"/>
    <mergeCell ref="B10:H10"/>
    <mergeCell ref="B1:H1"/>
    <mergeCell ref="B2:H2"/>
    <mergeCell ref="B3:H3"/>
    <mergeCell ref="B4:H4"/>
    <mergeCell ref="B5:H5"/>
  </mergeCells>
  <conditionalFormatting sqref="B44:H50">
    <cfRule type="expression" dxfId="8" priority="14" stopIfTrue="1">
      <formula>MOD(ROW(),2)</formula>
    </cfRule>
  </conditionalFormatting>
  <conditionalFormatting sqref="E44:F50">
    <cfRule type="cellIs" dxfId="7" priority="13" stopIfTrue="1" operator="equal">
      <formula>"NO ADMISIBLE"</formula>
    </cfRule>
  </conditionalFormatting>
  <conditionalFormatting sqref="E44:F50">
    <cfRule type="cellIs" dxfId="6" priority="12" stopIfTrue="1" operator="equal">
      <formula>"DESCARTADO"</formula>
    </cfRule>
  </conditionalFormatting>
  <dataValidations count="1">
    <dataValidation type="list" allowBlank="1" showInputMessage="1" showErrorMessage="1" sqref="O16">
      <formula1>METEVA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85" fitToHeight="0" orientation="portrait" horizontalDpi="1200" verticalDpi="1200" r:id="rId1"/>
  <headerFooter alignWithMargins="0">
    <oddFooter>&amp;L&amp;9&amp;F
&amp;A&amp;C&amp;P de &amp;N&amp;R&amp;9INSTITUTO NACIONAL DE VIAS
&amp;D</oddFooter>
  </headerFooter>
  <rowBreaks count="1" manualBreakCount="1">
    <brk id="38" min="1" max="6" man="1"/>
  </rowBreaks>
  <ignoredErrors>
    <ignoredError sqref="H19:H20 H22:H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2" tint="-0.749992370372631"/>
  </sheetPr>
  <dimension ref="B1:W26"/>
  <sheetViews>
    <sheetView showGridLines="0" topLeftCell="K12" zoomScale="110" zoomScaleNormal="110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2.7109375" style="2" customWidth="1"/>
    <col min="2" max="2" width="10.28515625" style="2" bestFit="1" customWidth="1"/>
    <col min="3" max="3" width="10.28515625" style="2" customWidth="1"/>
    <col min="4" max="4" width="37.85546875" style="2" bestFit="1" customWidth="1"/>
    <col min="5" max="5" width="17.42578125" style="2" bestFit="1" customWidth="1"/>
    <col min="6" max="6" width="16" style="2" customWidth="1"/>
    <col min="7" max="7" width="13.28515625" style="2" customWidth="1"/>
    <col min="8" max="8" width="13.28515625" style="2" hidden="1" customWidth="1"/>
    <col min="9" max="9" width="13.28515625" style="2" customWidth="1"/>
    <col min="10" max="10" width="16.28515625" style="2" hidden="1" customWidth="1"/>
    <col min="11" max="11" width="12.85546875" style="2" customWidth="1"/>
    <col min="12" max="12" width="11.42578125" style="2" hidden="1" customWidth="1"/>
    <col min="13" max="13" width="4.7109375" style="2" hidden="1" customWidth="1"/>
    <col min="14" max="14" width="4.7109375" style="2" customWidth="1"/>
    <col min="15" max="15" width="16" style="3" hidden="1" customWidth="1"/>
    <col min="16" max="16" width="9.28515625" style="3" bestFit="1" customWidth="1"/>
    <col min="17" max="17" width="71.5703125" style="2" customWidth="1"/>
    <col min="18" max="18" width="20" style="2" customWidth="1"/>
    <col min="19" max="19" width="20.140625" style="2" bestFit="1" customWidth="1"/>
    <col min="20" max="20" width="5.28515625" style="2" customWidth="1"/>
    <col min="21" max="21" width="11.42578125" style="245" customWidth="1"/>
    <col min="22" max="23" width="11.42578125" style="245"/>
    <col min="24" max="16384" width="11.42578125" style="2"/>
  </cols>
  <sheetData>
    <row r="1" spans="2:19" ht="18" x14ac:dyDescent="0.2">
      <c r="B1" s="325" t="str">
        <f>RESUMEN!B1</f>
        <v>FIDUPREVISORA</v>
      </c>
      <c r="C1" s="325"/>
      <c r="D1" s="325"/>
      <c r="E1" s="325"/>
      <c r="F1" s="325"/>
      <c r="G1" s="325"/>
      <c r="H1" s="325"/>
      <c r="I1" s="325"/>
      <c r="J1" s="325"/>
      <c r="K1" s="325"/>
      <c r="L1" s="1"/>
      <c r="P1" s="325" t="str">
        <f>B1</f>
        <v>FIDUPREVISORA</v>
      </c>
      <c r="Q1" s="325"/>
      <c r="R1" s="325"/>
      <c r="S1" s="325"/>
    </row>
    <row r="2" spans="2:19" ht="15.75" x14ac:dyDescent="0.2"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4"/>
      <c r="P2" s="326"/>
      <c r="Q2" s="326"/>
      <c r="R2" s="326"/>
      <c r="S2" s="326"/>
    </row>
    <row r="3" spans="2:19" x14ac:dyDescent="0.2">
      <c r="B3" s="326" t="str">
        <f>RESUMEN!B3</f>
        <v>PATRIMONIO AUTÓNOMO FIDEICOMISO ECOPETROL ZOMAC (en adelante PATRIMONIO AUTÓNOMO) FIDUCIARIA LA PREVISORA S.A.</v>
      </c>
      <c r="C3" s="326"/>
      <c r="D3" s="326"/>
      <c r="E3" s="326"/>
      <c r="F3" s="326"/>
      <c r="G3" s="326"/>
      <c r="H3" s="326"/>
      <c r="I3" s="326"/>
      <c r="J3" s="326"/>
      <c r="K3" s="326"/>
      <c r="L3" s="5"/>
      <c r="P3" s="326" t="str">
        <f>B3</f>
        <v>PATRIMONIO AUTÓNOMO FIDEICOMISO ECOPETROL ZOMAC (en adelante PATRIMONIO AUTÓNOMO) FIDUCIARIA LA PREVISORA S.A.</v>
      </c>
      <c r="Q3" s="326"/>
      <c r="R3" s="326"/>
      <c r="S3" s="326"/>
    </row>
    <row r="4" spans="2:19" x14ac:dyDescent="0.2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5"/>
      <c r="P4" s="326"/>
      <c r="Q4" s="326"/>
      <c r="R4" s="326"/>
      <c r="S4" s="326"/>
    </row>
    <row r="5" spans="2:19" x14ac:dyDescent="0.2">
      <c r="B5" s="326" t="str">
        <f>RESUMEN!B5</f>
        <v>LICITACIÓN PRIVADA ABIERTA N° 006 DE 2018</v>
      </c>
      <c r="C5" s="326"/>
      <c r="D5" s="326"/>
      <c r="E5" s="326"/>
      <c r="F5" s="326"/>
      <c r="G5" s="326"/>
      <c r="H5" s="326"/>
      <c r="I5" s="326"/>
      <c r="J5" s="326"/>
      <c r="K5" s="326"/>
      <c r="L5" s="5"/>
      <c r="P5" s="326" t="str">
        <f>B5</f>
        <v>LICITACIÓN PRIVADA ABIERTA N° 006 DE 2018</v>
      </c>
      <c r="Q5" s="326"/>
      <c r="R5" s="326"/>
      <c r="S5" s="326"/>
    </row>
    <row r="6" spans="2:19" x14ac:dyDescent="0.2">
      <c r="B6" s="49"/>
      <c r="C6" s="49"/>
      <c r="D6" s="5"/>
      <c r="E6" s="5"/>
      <c r="F6" s="5"/>
      <c r="G6" s="5"/>
      <c r="H6" s="5"/>
      <c r="I6" s="5"/>
      <c r="J6" s="5"/>
      <c r="K6" s="5"/>
      <c r="L6" s="5"/>
      <c r="P6" s="49"/>
      <c r="Q6" s="5"/>
      <c r="R6" s="5"/>
      <c r="S6" s="5"/>
    </row>
    <row r="7" spans="2:19" ht="39.75" customHeight="1" x14ac:dyDescent="0.2">
      <c r="B7" s="326" t="str">
        <f>RESUMEN!B7</f>
        <v>PROYECTO No. 1: MEJORAMIENTO VÍA EL PAUJIL - CARTAGENA DEL CHAIRÁ; ETAPA 2 DEPARTAMENTO DEL CAQUETÁ VINCULADOS AL CONTRIBUYENTE ECOPETROL S.A. DENTRO DEL MARCO MECANISMO DE OBRAS POR IMPUESTO</v>
      </c>
      <c r="C7" s="326"/>
      <c r="D7" s="326"/>
      <c r="E7" s="326"/>
      <c r="F7" s="326"/>
      <c r="G7" s="326"/>
      <c r="H7" s="326"/>
      <c r="I7" s="326"/>
      <c r="J7" s="326"/>
      <c r="K7" s="326"/>
      <c r="L7" s="6"/>
      <c r="P7" s="326" t="str">
        <f>B7</f>
        <v>PROYECTO No. 1: MEJORAMIENTO VÍA EL PAUJIL - CARTAGENA DEL CHAIRÁ; ETAPA 2 DEPARTAMENTO DEL CAQUETÁ VINCULADOS AL CONTRIBUYENTE ECOPETROL S.A. DENTRO DEL MARCO MECANISMO DE OBRAS POR IMPUESTO</v>
      </c>
      <c r="Q7" s="326"/>
      <c r="R7" s="326"/>
      <c r="S7" s="326"/>
    </row>
    <row r="8" spans="2:19" x14ac:dyDescent="0.2">
      <c r="B8" s="49" t="str">
        <f>IF(RESUMEN!B8="","",RESUMEN!B8)</f>
        <v/>
      </c>
      <c r="C8" s="49"/>
      <c r="D8" s="6"/>
      <c r="E8" s="6"/>
      <c r="F8" s="6"/>
      <c r="G8" s="6"/>
      <c r="H8" s="6"/>
      <c r="I8" s="6"/>
      <c r="J8" s="6"/>
      <c r="K8" s="6"/>
      <c r="L8" s="6"/>
      <c r="P8" s="49" t="str">
        <f>B8</f>
        <v/>
      </c>
      <c r="Q8" s="5"/>
      <c r="R8" s="5"/>
      <c r="S8" s="5"/>
    </row>
    <row r="9" spans="2:19" x14ac:dyDescent="0.2">
      <c r="B9" s="343" t="s">
        <v>28</v>
      </c>
      <c r="C9" s="343"/>
      <c r="D9" s="343"/>
      <c r="E9" s="343"/>
      <c r="F9" s="343"/>
      <c r="G9" s="343"/>
      <c r="H9" s="343"/>
      <c r="I9" s="343"/>
      <c r="J9" s="343"/>
      <c r="K9" s="343"/>
      <c r="L9" s="7"/>
      <c r="P9" s="49"/>
      <c r="Q9" s="5"/>
      <c r="R9" s="5"/>
      <c r="S9" s="5"/>
    </row>
    <row r="10" spans="2:19" x14ac:dyDescent="0.2">
      <c r="B10" s="326" t="s">
        <v>30</v>
      </c>
      <c r="C10" s="326"/>
      <c r="D10" s="326"/>
      <c r="E10" s="326"/>
      <c r="F10" s="326"/>
      <c r="G10" s="326"/>
      <c r="H10" s="326"/>
      <c r="I10" s="326"/>
      <c r="J10" s="326"/>
      <c r="K10" s="326"/>
      <c r="L10" s="7"/>
      <c r="P10" s="326" t="s">
        <v>34</v>
      </c>
      <c r="Q10" s="326"/>
      <c r="R10" s="326"/>
      <c r="S10" s="326"/>
    </row>
    <row r="11" spans="2:19" ht="13.5" thickBot="1" x14ac:dyDescent="0.25">
      <c r="B11" s="124"/>
      <c r="C11" s="124"/>
      <c r="D11" s="124"/>
      <c r="E11" s="124"/>
      <c r="F11" s="124"/>
      <c r="G11" s="125"/>
      <c r="H11" s="124"/>
      <c r="I11" s="124"/>
      <c r="J11" s="124"/>
      <c r="K11" s="124" t="s">
        <v>3</v>
      </c>
      <c r="L11" s="124"/>
      <c r="O11" s="424" t="s">
        <v>9</v>
      </c>
    </row>
    <row r="12" spans="2:19" ht="24.75" customHeight="1" thickTop="1" x14ac:dyDescent="0.2">
      <c r="B12" s="419" t="s">
        <v>36</v>
      </c>
      <c r="C12" s="416" t="s">
        <v>29</v>
      </c>
      <c r="D12" s="416" t="s">
        <v>5</v>
      </c>
      <c r="E12" s="416" t="s">
        <v>121</v>
      </c>
      <c r="F12" s="436" t="s">
        <v>26</v>
      </c>
      <c r="G12" s="433" t="s">
        <v>17</v>
      </c>
      <c r="H12" s="433"/>
      <c r="I12" s="433"/>
      <c r="J12" s="433"/>
      <c r="K12" s="434" t="s">
        <v>32</v>
      </c>
      <c r="L12" s="416" t="s">
        <v>33</v>
      </c>
      <c r="O12" s="424"/>
      <c r="P12" s="425" t="s">
        <v>35</v>
      </c>
      <c r="Q12" s="426"/>
      <c r="R12" s="427"/>
      <c r="S12" s="428"/>
    </row>
    <row r="13" spans="2:19" ht="52.5" customHeight="1" x14ac:dyDescent="0.2">
      <c r="B13" s="420"/>
      <c r="C13" s="417"/>
      <c r="D13" s="417"/>
      <c r="E13" s="417"/>
      <c r="F13" s="437"/>
      <c r="G13" s="303" t="s">
        <v>31</v>
      </c>
      <c r="H13" s="304"/>
      <c r="I13" s="303" t="s">
        <v>73</v>
      </c>
      <c r="J13" s="303"/>
      <c r="K13" s="435"/>
      <c r="L13" s="417"/>
      <c r="O13" s="424"/>
      <c r="P13" s="429">
        <f ca="1">VLOOKUP(Q16,D16:E22,2,FALSE)</f>
        <v>29104276083</v>
      </c>
      <c r="Q13" s="430"/>
      <c r="R13" s="431"/>
      <c r="S13" s="432"/>
    </row>
    <row r="14" spans="2:19" ht="15" x14ac:dyDescent="0.25">
      <c r="B14" s="421"/>
      <c r="C14" s="418"/>
      <c r="D14" s="418"/>
      <c r="E14" s="305" t="s">
        <v>25</v>
      </c>
      <c r="F14" s="306" t="s">
        <v>13</v>
      </c>
      <c r="G14" s="307">
        <v>900</v>
      </c>
      <c r="H14" s="307"/>
      <c r="I14" s="307">
        <v>100</v>
      </c>
      <c r="J14" s="308"/>
      <c r="K14" s="309">
        <f>SUM(G14:J14)</f>
        <v>1000</v>
      </c>
      <c r="L14" s="418"/>
      <c r="O14" s="424"/>
      <c r="P14" s="299" t="s">
        <v>81</v>
      </c>
      <c r="Q14" s="300" t="s">
        <v>5</v>
      </c>
      <c r="R14" s="301" t="s">
        <v>80</v>
      </c>
      <c r="S14" s="302" t="s">
        <v>4</v>
      </c>
    </row>
    <row r="15" spans="2:19" ht="5.25" customHeight="1" x14ac:dyDescent="0.2">
      <c r="B15" s="136"/>
      <c r="C15" s="132"/>
      <c r="D15" s="133"/>
      <c r="E15" s="133"/>
      <c r="F15" s="134"/>
      <c r="G15" s="135"/>
      <c r="H15" s="135"/>
      <c r="I15" s="135"/>
      <c r="J15" s="135"/>
      <c r="K15" s="137"/>
      <c r="L15" s="137"/>
      <c r="P15" s="151"/>
      <c r="Q15" s="150"/>
      <c r="R15" s="150"/>
      <c r="S15" s="152"/>
    </row>
    <row r="16" spans="2:19" ht="22.5" x14ac:dyDescent="0.2">
      <c r="B16" s="144">
        <v>1</v>
      </c>
      <c r="C16" s="145">
        <f>RESUMEN!C15</f>
        <v>4</v>
      </c>
      <c r="D16" s="111" t="str">
        <f>VLOOKUP(C16,RESUMEN!$C$15:$D$21,2,0)</f>
        <v>MAQUINARIA INGENIERIA CONSTRUCCIÓN Y OBRAS S.A.S</v>
      </c>
      <c r="E16" s="146">
        <f>VLOOKUP(C16,FORMULA!$C$44:$H$50,3,0)</f>
        <v>29190377088</v>
      </c>
      <c r="F16" s="232">
        <f>VLOOKUP(C16,FORMULA!$C$44:$H$50,5,0)</f>
        <v>-3.3029021811820103E-3</v>
      </c>
      <c r="G16" s="210">
        <f>VLOOKUP(C16,FORMULA!$C$44:$H$50,6,0)</f>
        <v>894.02711667763379</v>
      </c>
      <c r="H16" s="147">
        <f>VLOOKUP($C16,RESUMEN!$C$15:$I$21,4,FALSE)</f>
        <v>0</v>
      </c>
      <c r="I16" s="147">
        <f>VLOOKUP($C16,RESUMEN!$C$15:$I$21,5,FALSE)</f>
        <v>100</v>
      </c>
      <c r="J16" s="147">
        <f>VLOOKUP($C16,RESUMEN!$C$15:$I$21,6,FALSE)</f>
        <v>0</v>
      </c>
      <c r="K16" s="256">
        <f>IF(E16="DESCARTADO",-L16,SUM(G16:J16,-L16))</f>
        <v>994.0271166766338</v>
      </c>
      <c r="L16" s="148">
        <v>1.0000000000000001E-9</v>
      </c>
      <c r="M16" s="194">
        <f t="shared" ref="M16:M22" si="0">C16</f>
        <v>4</v>
      </c>
      <c r="O16" s="73">
        <f t="shared" ref="O16:O22" si="1">RANK(K16,$K$16:$K$22,0)</f>
        <v>3</v>
      </c>
      <c r="P16" s="156">
        <v>1</v>
      </c>
      <c r="Q16" s="157" t="str">
        <f t="shared" ref="Q16:Q22" ca="1" si="2">IF(P16="","",OFFSET($D$15,MATCH(B16,$O$16:$O$22,0),0))</f>
        <v>UNIÓN TEMPORAL VÍA PAUCAR II</v>
      </c>
      <c r="R16" s="195">
        <f t="shared" ref="R16:R22" ca="1" si="3">IF(Q16="","",VLOOKUP(Q16,$D$16:$M$22,10,FALSE))</f>
        <v>22</v>
      </c>
      <c r="S16" s="208">
        <f t="shared" ref="S16:S22" ca="1" si="4">IF(Q16="","",VLOOKUP(Q16,$D$16:$K$22,8,FALSE))</f>
        <v>999.35408041459277</v>
      </c>
    </row>
    <row r="17" spans="2:19" ht="18" x14ac:dyDescent="0.2">
      <c r="B17" s="144">
        <v>2</v>
      </c>
      <c r="C17" s="145">
        <f>RESUMEN!C16</f>
        <v>8</v>
      </c>
      <c r="D17" s="111" t="str">
        <f>VLOOKUP(C17,RESUMEN!$C$15:$D$21,2,0)</f>
        <v>CONSORCIO VÍAS PG</v>
      </c>
      <c r="E17" s="146" t="str">
        <f>VLOOKUP(C17,FORMULA!$C$44:$H$50,3,0)</f>
        <v>DESCARTADO</v>
      </c>
      <c r="F17" s="232" t="str">
        <f>VLOOKUP(C17,FORMULA!$C$44:$H$50,5,0)</f>
        <v>DESCARTADO</v>
      </c>
      <c r="G17" s="210" t="str">
        <f>VLOOKUP(C17,FORMULA!$C$44:$H$50,6,0)</f>
        <v>DESCARTADO</v>
      </c>
      <c r="H17" s="147">
        <f>VLOOKUP($C17,RESUMEN!$C$15:$I$21,4,FALSE)</f>
        <v>0</v>
      </c>
      <c r="I17" s="147">
        <f>VLOOKUP($C17,RESUMEN!$C$15:$I$21,5,FALSE)</f>
        <v>100</v>
      </c>
      <c r="J17" s="147">
        <f>VLOOKUP($C17,RESUMEN!$C$15:$I$21,6,FALSE)</f>
        <v>0</v>
      </c>
      <c r="K17" s="256">
        <f t="shared" ref="K17:K22" si="5">IF(E17="DESCARTADO",-L17,SUM(G17:J17,-L17))</f>
        <v>-1.0999999999999999E-9</v>
      </c>
      <c r="L17" s="148">
        <v>1.0999999999999999E-9</v>
      </c>
      <c r="M17" s="194">
        <f t="shared" si="0"/>
        <v>8</v>
      </c>
      <c r="O17" s="73">
        <f t="shared" si="1"/>
        <v>4</v>
      </c>
      <c r="P17" s="156">
        <f>P16+1</f>
        <v>2</v>
      </c>
      <c r="Q17" s="157" t="str">
        <f t="shared" ca="1" si="2"/>
        <v>CONSORCIO RUTA NACIONAL 2018</v>
      </c>
      <c r="R17" s="195">
        <f t="shared" ca="1" si="3"/>
        <v>31</v>
      </c>
      <c r="S17" s="208">
        <f t="shared" ca="1" si="4"/>
        <v>996.6905985451134</v>
      </c>
    </row>
    <row r="18" spans="2:19" ht="36" x14ac:dyDescent="0.2">
      <c r="B18" s="144">
        <v>3</v>
      </c>
      <c r="C18" s="145">
        <f>RESUMEN!C17</f>
        <v>10</v>
      </c>
      <c r="D18" s="111" t="str">
        <f>VLOOKUP(C18,RESUMEN!$C$15:$D$21,2,0)</f>
        <v xml:space="preserve">CONSORCIO PUERTA DEL SOL </v>
      </c>
      <c r="E18" s="146" t="str">
        <f>VLOOKUP(C18,FORMULA!$C$44:$H$50,3,0)</f>
        <v>DESCARTADO</v>
      </c>
      <c r="F18" s="232" t="str">
        <f>VLOOKUP(C18,FORMULA!$C$44:$H$50,5,0)</f>
        <v>DESCARTADO</v>
      </c>
      <c r="G18" s="210" t="str">
        <f>VLOOKUP(C18,FORMULA!$C$44:$H$50,6,0)</f>
        <v>DESCARTADO</v>
      </c>
      <c r="H18" s="147">
        <f>VLOOKUP($C18,RESUMEN!$C$15:$I$21,4,FALSE)</f>
        <v>0</v>
      </c>
      <c r="I18" s="147">
        <f>VLOOKUP($C18,RESUMEN!$C$15:$I$21,5,FALSE)</f>
        <v>100</v>
      </c>
      <c r="J18" s="147">
        <f>VLOOKUP($C18,RESUMEN!$C$15:$I$21,6,FALSE)</f>
        <v>0</v>
      </c>
      <c r="K18" s="256">
        <f t="shared" si="5"/>
        <v>-1.2E-9</v>
      </c>
      <c r="L18" s="148">
        <v>1.2E-9</v>
      </c>
      <c r="M18" s="194">
        <f t="shared" si="0"/>
        <v>10</v>
      </c>
      <c r="O18" s="73">
        <f t="shared" si="1"/>
        <v>5</v>
      </c>
      <c r="P18" s="156">
        <f t="shared" ref="P18:P22" si="6">P17+1</f>
        <v>3</v>
      </c>
      <c r="Q18" s="157" t="str">
        <f t="shared" ca="1" si="2"/>
        <v>MAQUINARIA INGENIERIA CONSTRUCCIÓN Y OBRAS S.A.S</v>
      </c>
      <c r="R18" s="195">
        <f t="shared" ca="1" si="3"/>
        <v>4</v>
      </c>
      <c r="S18" s="208">
        <f t="shared" ca="1" si="4"/>
        <v>994.0271166766338</v>
      </c>
    </row>
    <row r="19" spans="2:19" ht="18" x14ac:dyDescent="0.2">
      <c r="B19" s="144">
        <v>4</v>
      </c>
      <c r="C19" s="145">
        <f>RESUMEN!C18</f>
        <v>22</v>
      </c>
      <c r="D19" s="111" t="str">
        <f>VLOOKUP(C19,RESUMEN!$C$15:$D$21,2,0)</f>
        <v>UNIÓN TEMPORAL VÍA PAUCAR II</v>
      </c>
      <c r="E19" s="146">
        <f>VLOOKUP(C19,FORMULA!$C$44:$H$50,3,0)</f>
        <v>29104276083</v>
      </c>
      <c r="F19" s="232">
        <f>VLOOKUP(C19,FORMULA!$C$44:$H$50,5,0)</f>
        <v>-6.2427964327729235E-3</v>
      </c>
      <c r="G19" s="210">
        <f>VLOOKUP(C19,FORMULA!$C$44:$H$50,6,0)</f>
        <v>899.35408041599283</v>
      </c>
      <c r="H19" s="147">
        <f>VLOOKUP($C19,RESUMEN!$C$15:$I$21,4,FALSE)</f>
        <v>0</v>
      </c>
      <c r="I19" s="147">
        <f>VLOOKUP($C19,RESUMEN!$C$15:$I$21,5,FALSE)</f>
        <v>100</v>
      </c>
      <c r="J19" s="147">
        <f>VLOOKUP($C19,RESUMEN!$C$15:$I$21,6,FALSE)</f>
        <v>0</v>
      </c>
      <c r="K19" s="256">
        <f t="shared" si="5"/>
        <v>999.35408041459277</v>
      </c>
      <c r="L19" s="148">
        <v>1.3999999999999999E-9</v>
      </c>
      <c r="M19" s="194">
        <f t="shared" si="0"/>
        <v>22</v>
      </c>
      <c r="O19" s="73">
        <f t="shared" si="1"/>
        <v>1</v>
      </c>
      <c r="P19" s="156">
        <v>4</v>
      </c>
      <c r="Q19" s="157" t="str">
        <f t="shared" ca="1" si="2"/>
        <v>CONSORCIO VÍAS PG</v>
      </c>
      <c r="R19" s="195">
        <f t="shared" ca="1" si="3"/>
        <v>8</v>
      </c>
      <c r="S19" s="208">
        <f t="shared" ca="1" si="4"/>
        <v>-1.0999999999999999E-9</v>
      </c>
    </row>
    <row r="20" spans="2:19" ht="18" x14ac:dyDescent="0.2">
      <c r="B20" s="144">
        <v>5</v>
      </c>
      <c r="C20" s="145">
        <f>RESUMEN!C19</f>
        <v>26</v>
      </c>
      <c r="D20" s="111" t="str">
        <f>VLOOKUP(C20,RESUMEN!$C$15:$D$21,2,0)</f>
        <v>CONSORCIO VÍAS COLOMBIA 006</v>
      </c>
      <c r="E20" s="146" t="str">
        <f>VLOOKUP(C20,FORMULA!$C$44:$H$50,3,0)</f>
        <v>DESCARTADO</v>
      </c>
      <c r="F20" s="232" t="str">
        <f>VLOOKUP(C20,FORMULA!$C$44:$H$50,5,0)</f>
        <v>DESCARTADO</v>
      </c>
      <c r="G20" s="210" t="str">
        <f>VLOOKUP(C20,FORMULA!$C$44:$H$50,6,0)</f>
        <v>DESCARTADO</v>
      </c>
      <c r="H20" s="147">
        <f>VLOOKUP($C20,RESUMEN!$C$15:$I$21,4,FALSE)</f>
        <v>0</v>
      </c>
      <c r="I20" s="147">
        <f>VLOOKUP($C20,RESUMEN!$C$15:$I$21,5,FALSE)</f>
        <v>100</v>
      </c>
      <c r="J20" s="147">
        <f>VLOOKUP($C20,RESUMEN!$C$15:$I$21,6,FALSE)</f>
        <v>0</v>
      </c>
      <c r="K20" s="256">
        <f t="shared" si="5"/>
        <v>-1.5E-9</v>
      </c>
      <c r="L20" s="148">
        <v>1.5E-9</v>
      </c>
      <c r="M20" s="194">
        <f t="shared" si="0"/>
        <v>26</v>
      </c>
      <c r="O20" s="73">
        <f t="shared" si="1"/>
        <v>6</v>
      </c>
      <c r="P20" s="156">
        <v>5</v>
      </c>
      <c r="Q20" s="157" t="str">
        <f t="shared" ca="1" si="2"/>
        <v xml:space="preserve">CONSORCIO PUERTA DEL SOL </v>
      </c>
      <c r="R20" s="195">
        <f t="shared" ca="1" si="3"/>
        <v>10</v>
      </c>
      <c r="S20" s="208">
        <f t="shared" ca="1" si="4"/>
        <v>-1.2E-9</v>
      </c>
    </row>
    <row r="21" spans="2:19" ht="18" x14ac:dyDescent="0.2">
      <c r="B21" s="144">
        <v>6</v>
      </c>
      <c r="C21" s="145">
        <f>RESUMEN!C20</f>
        <v>29</v>
      </c>
      <c r="D21" s="111" t="str">
        <f>VLOOKUP(C21,RESUMEN!$C$15:$D$21,2,0)</f>
        <v>CONSORCIO VÍAS COLOMBIA 2019</v>
      </c>
      <c r="E21" s="146" t="str">
        <f>VLOOKUP(C21,FORMULA!$C$44:$H$50,3,0)</f>
        <v>DESCARTADO</v>
      </c>
      <c r="F21" s="232" t="str">
        <f>VLOOKUP(C21,FORMULA!$C$44:$H$50,5,0)</f>
        <v>DESCARTADO</v>
      </c>
      <c r="G21" s="210" t="str">
        <f>VLOOKUP(C21,FORMULA!$C$44:$H$50,6,0)</f>
        <v>DESCARTADO</v>
      </c>
      <c r="H21" s="147">
        <f>VLOOKUP($C21,RESUMEN!$C$15:$I$21,4,FALSE)</f>
        <v>0</v>
      </c>
      <c r="I21" s="147">
        <f>VLOOKUP($C21,RESUMEN!$C$15:$I$21,5,FALSE)</f>
        <v>100</v>
      </c>
      <c r="J21" s="147">
        <f>VLOOKUP($C21,RESUMEN!$C$15:$I$21,6,FALSE)</f>
        <v>0</v>
      </c>
      <c r="K21" s="256">
        <f t="shared" si="5"/>
        <v>-1.6000000000000001E-9</v>
      </c>
      <c r="L21" s="148">
        <v>1.6000000000000001E-9</v>
      </c>
      <c r="M21" s="194">
        <f t="shared" si="0"/>
        <v>29</v>
      </c>
      <c r="O21" s="73">
        <f t="shared" si="1"/>
        <v>7</v>
      </c>
      <c r="P21" s="156">
        <v>6</v>
      </c>
      <c r="Q21" s="157" t="str">
        <f t="shared" ca="1" si="2"/>
        <v>CONSORCIO VÍAS COLOMBIA 006</v>
      </c>
      <c r="R21" s="195">
        <f t="shared" ca="1" si="3"/>
        <v>26</v>
      </c>
      <c r="S21" s="208">
        <f t="shared" ca="1" si="4"/>
        <v>-1.5E-9</v>
      </c>
    </row>
    <row r="22" spans="2:19" ht="18" x14ac:dyDescent="0.2">
      <c r="B22" s="144">
        <v>7</v>
      </c>
      <c r="C22" s="145">
        <f>RESUMEN!C21</f>
        <v>31</v>
      </c>
      <c r="D22" s="111" t="str">
        <f>VLOOKUP(C22,RESUMEN!$C$15:$D$21,2,0)</f>
        <v>CONSORCIO RUTA NACIONAL 2018</v>
      </c>
      <c r="E22" s="146">
        <f>VLOOKUP(C22,FORMULA!$C$44:$H$50,3,0)</f>
        <v>28986854614</v>
      </c>
      <c r="F22" s="232">
        <f>VLOOKUP(C22,FORMULA!$C$44:$H$50,5,0)</f>
        <v>-1.0252118992091108E-2</v>
      </c>
      <c r="G22" s="210">
        <f>VLOOKUP(C22,FORMULA!$C$44:$H$50,6,0)</f>
        <v>896.69059854681336</v>
      </c>
      <c r="H22" s="147">
        <f>VLOOKUP($C22,RESUMEN!$C$15:$I$21,4,FALSE)</f>
        <v>0</v>
      </c>
      <c r="I22" s="147">
        <f>VLOOKUP($C22,RESUMEN!$C$15:$I$21,5,FALSE)</f>
        <v>100</v>
      </c>
      <c r="J22" s="147">
        <f>VLOOKUP($C22,RESUMEN!$C$15:$I$21,6,FALSE)</f>
        <v>0</v>
      </c>
      <c r="K22" s="256">
        <f t="shared" si="5"/>
        <v>996.6905985451134</v>
      </c>
      <c r="L22" s="148">
        <v>1.6999999999999999E-9</v>
      </c>
      <c r="M22" s="194">
        <f t="shared" si="0"/>
        <v>31</v>
      </c>
      <c r="O22" s="73">
        <f t="shared" si="1"/>
        <v>2</v>
      </c>
      <c r="P22" s="156">
        <f t="shared" si="6"/>
        <v>7</v>
      </c>
      <c r="Q22" s="157" t="str">
        <f t="shared" ca="1" si="2"/>
        <v>CONSORCIO VÍAS COLOMBIA 2019</v>
      </c>
      <c r="R22" s="195">
        <f t="shared" ca="1" si="3"/>
        <v>29</v>
      </c>
      <c r="S22" s="208">
        <f t="shared" ca="1" si="4"/>
        <v>-1.6000000000000001E-9</v>
      </c>
    </row>
    <row r="23" spans="2:19" ht="4.5" customHeight="1" thickBot="1" x14ac:dyDescent="0.3">
      <c r="B23" s="138"/>
      <c r="C23" s="139"/>
      <c r="D23" s="140"/>
      <c r="E23" s="140"/>
      <c r="F23" s="141"/>
      <c r="G23" s="142"/>
      <c r="H23" s="142"/>
      <c r="I23" s="142"/>
      <c r="J23" s="142"/>
      <c r="K23" s="149"/>
      <c r="L23" s="143"/>
      <c r="M23" s="194">
        <f t="shared" ref="M23" si="7">C23</f>
        <v>0</v>
      </c>
      <c r="P23" s="153"/>
      <c r="Q23" s="244"/>
      <c r="R23" s="154"/>
      <c r="S23" s="155"/>
    </row>
    <row r="24" spans="2:19" ht="7.5" customHeight="1" thickTop="1" x14ac:dyDescent="0.2">
      <c r="B24" s="126"/>
      <c r="C24" s="126"/>
      <c r="D24" s="127"/>
      <c r="E24" s="127"/>
      <c r="F24" s="128"/>
      <c r="G24" s="129"/>
      <c r="H24" s="129"/>
      <c r="I24" s="129"/>
      <c r="J24" s="129"/>
      <c r="K24" s="130"/>
      <c r="L24" s="131"/>
    </row>
    <row r="25" spans="2:19" x14ac:dyDescent="0.2">
      <c r="P25" s="423" t="str">
        <f ca="1">IF(P13="DESCARTADO","MODULO DESIERTO","")</f>
        <v/>
      </c>
      <c r="Q25" s="423"/>
      <c r="R25" s="423"/>
      <c r="S25" s="423"/>
    </row>
    <row r="26" spans="2:19" x14ac:dyDescent="0.2">
      <c r="L26" s="422"/>
      <c r="M26" s="422"/>
      <c r="P26" s="423"/>
      <c r="Q26" s="423"/>
      <c r="R26" s="423"/>
      <c r="S26" s="423"/>
    </row>
  </sheetData>
  <sheetProtection selectLockedCells="1"/>
  <mergeCells count="28">
    <mergeCell ref="D12:D14"/>
    <mergeCell ref="C12:C14"/>
    <mergeCell ref="B12:B14"/>
    <mergeCell ref="L26:M26"/>
    <mergeCell ref="P25:S26"/>
    <mergeCell ref="O11:O14"/>
    <mergeCell ref="P12:S12"/>
    <mergeCell ref="P13:S13"/>
    <mergeCell ref="L12:L14"/>
    <mergeCell ref="G12:J12"/>
    <mergeCell ref="K12:K13"/>
    <mergeCell ref="F12:F13"/>
    <mergeCell ref="E12:E13"/>
    <mergeCell ref="B7:K7"/>
    <mergeCell ref="B9:K9"/>
    <mergeCell ref="B10:K10"/>
    <mergeCell ref="P1:S1"/>
    <mergeCell ref="P2:S2"/>
    <mergeCell ref="P3:S3"/>
    <mergeCell ref="P4:S4"/>
    <mergeCell ref="P5:S5"/>
    <mergeCell ref="P7:S7"/>
    <mergeCell ref="P10:S10"/>
    <mergeCell ref="B1:K1"/>
    <mergeCell ref="B2:K2"/>
    <mergeCell ref="B3:K3"/>
    <mergeCell ref="B4:K4"/>
    <mergeCell ref="B5:K5"/>
  </mergeCells>
  <phoneticPr fontId="4" type="noConversion"/>
  <conditionalFormatting sqref="G16:K22">
    <cfRule type="cellIs" dxfId="5" priority="22" stopIfTrue="1" operator="greaterThan">
      <formula>0</formula>
    </cfRule>
    <cfRule type="cellIs" dxfId="4" priority="23" stopIfTrue="1" operator="equal">
      <formula>0</formula>
    </cfRule>
  </conditionalFormatting>
  <conditionalFormatting sqref="L18:L19 K16:L16 B16:E16 L21 O16:S16 D17:E22 K17:K22 O17:P22 R17:S22 F16:J22 Q17:Q23 B17:C21">
    <cfRule type="expression" dxfId="3" priority="30" stopIfTrue="1">
      <formula>MOD(ROW(),2)</formula>
    </cfRule>
  </conditionalFormatting>
  <conditionalFormatting sqref="E17:E22 F16:G22">
    <cfRule type="cellIs" dxfId="2" priority="21" stopIfTrue="1" operator="equal">
      <formula>"DESCARTADO"</formula>
    </cfRule>
  </conditionalFormatting>
  <conditionalFormatting sqref="L17 L20 B22:C22 L22">
    <cfRule type="expression" dxfId="1" priority="25" stopIfTrue="1">
      <formula>MOD(ROW(),2)</formula>
    </cfRule>
  </conditionalFormatting>
  <conditionalFormatting sqref="E16">
    <cfRule type="cellIs" dxfId="0" priority="5" stopIfTrue="1" operator="equal">
      <formula>"DESCARTADO"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5" fitToWidth="0" fitToHeight="0" orientation="portrait" horizontalDpi="1200" verticalDpi="1200" r:id="rId1"/>
  <headerFooter alignWithMargins="0">
    <oddFooter>&amp;L&amp;9&amp;F
&amp;A&amp;C&amp;P de &amp;N&amp;R&amp;9INSTITUTO NACIONAL DE VIAS
&amp;D</oddFooter>
  </headerFooter>
  <rowBreaks count="1" manualBreakCount="1">
    <brk id="23" min="1" max="18" man="1"/>
  </rowBreaks>
  <colBreaks count="1" manualBreakCount="1">
    <brk id="13" max="1048575" man="1"/>
  </colBreaks>
  <ignoredErrors>
    <ignoredError sqref="H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7"/>
  <sheetViews>
    <sheetView workbookViewId="0">
      <selection activeCell="D5" sqref="D5"/>
    </sheetView>
  </sheetViews>
  <sheetFormatPr baseColWidth="10" defaultColWidth="11.42578125" defaultRowHeight="12.75" x14ac:dyDescent="0.2"/>
  <cols>
    <col min="1" max="1" width="11.42578125" style="229"/>
    <col min="2" max="2" width="85.7109375" style="229" bestFit="1" customWidth="1"/>
    <col min="3" max="3" width="14.140625" style="229" bestFit="1" customWidth="1"/>
    <col min="4" max="4" width="47.42578125" style="229" bestFit="1" customWidth="1"/>
    <col min="5" max="16384" width="11.42578125" style="229"/>
  </cols>
  <sheetData>
    <row r="1" spans="1:4" ht="15.75" thickTop="1" x14ac:dyDescent="0.2">
      <c r="A1" s="290" t="s">
        <v>20</v>
      </c>
      <c r="B1" s="291" t="s">
        <v>19</v>
      </c>
      <c r="C1" s="291" t="s">
        <v>27</v>
      </c>
      <c r="D1" s="292" t="s">
        <v>85</v>
      </c>
    </row>
    <row r="2" spans="1:4" x14ac:dyDescent="0.2">
      <c r="A2" s="62">
        <v>1</v>
      </c>
      <c r="B2" s="70"/>
      <c r="C2" s="74" t="s">
        <v>8</v>
      </c>
      <c r="D2" s="74" t="s">
        <v>86</v>
      </c>
    </row>
    <row r="3" spans="1:4" x14ac:dyDescent="0.2">
      <c r="A3" s="63">
        <v>2</v>
      </c>
      <c r="B3" s="64"/>
      <c r="C3" s="75" t="s">
        <v>7</v>
      </c>
      <c r="D3" s="75" t="s">
        <v>87</v>
      </c>
    </row>
    <row r="4" spans="1:4" ht="13.5" thickBot="1" x14ac:dyDescent="0.25">
      <c r="A4" s="62">
        <v>3</v>
      </c>
      <c r="B4" s="64"/>
      <c r="C4" s="76" t="s">
        <v>12</v>
      </c>
      <c r="D4" s="75" t="s">
        <v>127</v>
      </c>
    </row>
    <row r="5" spans="1:4" ht="13.5" thickTop="1" x14ac:dyDescent="0.2">
      <c r="A5" s="63">
        <v>4</v>
      </c>
      <c r="B5" s="64"/>
      <c r="D5" s="207" t="s">
        <v>88</v>
      </c>
    </row>
    <row r="6" spans="1:4" ht="13.5" thickBot="1" x14ac:dyDescent="0.25">
      <c r="A6" s="62">
        <v>5</v>
      </c>
      <c r="B6" s="64"/>
      <c r="D6" s="76"/>
    </row>
    <row r="7" spans="1:4" ht="13.5" thickTop="1" x14ac:dyDescent="0.2">
      <c r="A7" s="63">
        <v>6</v>
      </c>
      <c r="B7" s="64"/>
    </row>
    <row r="8" spans="1:4" x14ac:dyDescent="0.2">
      <c r="A8" s="62">
        <v>7</v>
      </c>
      <c r="B8" s="64"/>
    </row>
    <row r="9" spans="1:4" x14ac:dyDescent="0.2">
      <c r="A9" s="63">
        <v>8</v>
      </c>
      <c r="B9" s="64"/>
    </row>
    <row r="10" spans="1:4" x14ac:dyDescent="0.2">
      <c r="A10" s="67">
        <v>9</v>
      </c>
      <c r="B10" s="68"/>
    </row>
    <row r="11" spans="1:4" x14ac:dyDescent="0.2">
      <c r="A11" s="67">
        <v>10</v>
      </c>
      <c r="B11" s="69"/>
    </row>
    <row r="12" spans="1:4" x14ac:dyDescent="0.2">
      <c r="A12" s="67">
        <v>11</v>
      </c>
      <c r="B12" s="69"/>
    </row>
    <row r="13" spans="1:4" x14ac:dyDescent="0.2">
      <c r="A13" s="67">
        <v>12</v>
      </c>
      <c r="B13" s="68"/>
    </row>
    <row r="14" spans="1:4" x14ac:dyDescent="0.2">
      <c r="A14" s="67">
        <v>13</v>
      </c>
      <c r="B14" s="68"/>
    </row>
    <row r="15" spans="1:4" x14ac:dyDescent="0.2">
      <c r="A15" s="67">
        <v>14</v>
      </c>
      <c r="B15" s="68"/>
    </row>
    <row r="16" spans="1:4" ht="13.5" thickBot="1" x14ac:dyDescent="0.25">
      <c r="A16" s="65">
        <v>15</v>
      </c>
      <c r="B16" s="66"/>
    </row>
    <row r="17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9</vt:i4>
      </vt:variant>
    </vt:vector>
  </HeadingPairs>
  <TitlesOfParts>
    <vt:vector size="13" baseType="lpstr">
      <vt:lpstr>RESUMEN</vt:lpstr>
      <vt:lpstr>VR-PROP</vt:lpstr>
      <vt:lpstr>FORMULA</vt:lpstr>
      <vt:lpstr>ELEGIBILIDAD</vt:lpstr>
      <vt:lpstr>ELEGIBILIDAD!Área_de_impresión</vt:lpstr>
      <vt:lpstr>RESUMEN!Área_de_impresión</vt:lpstr>
      <vt:lpstr>'VR-PROP'!Área_de_impresión</vt:lpstr>
      <vt:lpstr>DEPENDENCIAS</vt:lpstr>
      <vt:lpstr>METEVA</vt:lpstr>
      <vt:lpstr>RESULTADO</vt:lpstr>
      <vt:lpstr>ELEGIBILIDAD!Títulos_a_imprimir</vt:lpstr>
      <vt:lpstr>FORMULA!Títulos_a_imprimir</vt:lpstr>
      <vt:lpstr>'VR-PROP'!Títulos_a_imprimir</vt:lpstr>
    </vt:vector>
  </TitlesOfParts>
  <Company>INSTITUTO NACIONAL DE VIAS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2018</dc:creator>
  <cp:lastModifiedBy>Garcia Amaya Wilson</cp:lastModifiedBy>
  <cp:lastPrinted>2012-04-17T13:34:03Z</cp:lastPrinted>
  <dcterms:created xsi:type="dcterms:W3CDTF">2003-08-04T15:33:07Z</dcterms:created>
  <dcterms:modified xsi:type="dcterms:W3CDTF">2019-11-20T21:32:08Z</dcterms:modified>
</cp:coreProperties>
</file>