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LP-007-2018 ECO\"/>
    </mc:Choice>
  </mc:AlternateContent>
  <bookViews>
    <workbookView xWindow="9585" yWindow="945" windowWidth="9630" windowHeight="10170"/>
  </bookViews>
  <sheets>
    <sheet name="RESUMEN" sheetId="13" r:id="rId1"/>
    <sheet name="VR-PROP" sheetId="15" r:id="rId2"/>
    <sheet name="FORMULA" sheetId="107" r:id="rId3"/>
    <sheet name="ELEGIBILIDAD" sheetId="10" r:id="rId4"/>
    <sheet name="Listas" sheetId="106" state="veryHidden" r:id="rId5"/>
  </sheets>
  <definedNames>
    <definedName name="_xlnm._FilterDatabase" localSheetId="1" hidden="1">'VR-PROP'!$I$60:$K$64</definedName>
    <definedName name="_xlnm.Print_Area" localSheetId="3">ELEGIBILIDAD!$A$1:$T$32</definedName>
    <definedName name="_xlnm.Print_Area" localSheetId="0">RESUMEN!$B$1:$I$35</definedName>
    <definedName name="_xlnm.Print_Area" localSheetId="1">'VR-PROP'!$B$1:$K$64</definedName>
    <definedName name="DEPENDENCIAS">Listas!$B$2:$B$16</definedName>
    <definedName name="METEVA">Listas!$D$2:$D$5</definedName>
    <definedName name="RESULTADO">Listas!$C$2:$C$4</definedName>
    <definedName name="_xlnm.Print_Titles" localSheetId="3">ELEGIBILIDAD!$1:$15</definedName>
    <definedName name="_xlnm.Print_Titles" localSheetId="2">FORMULA!$1:$11</definedName>
    <definedName name="_xlnm.Print_Titles" localSheetId="1">'VR-PROP'!$B:$H</definedName>
  </definedNames>
  <calcPr calcId="152511"/>
</workbook>
</file>

<file path=xl/calcChain.xml><?xml version="1.0" encoding="utf-8"?>
<calcChain xmlns="http://schemas.openxmlformats.org/spreadsheetml/2006/main">
  <c r="O44" i="107" l="1"/>
  <c r="O45" i="107"/>
  <c r="O46" i="107"/>
  <c r="O47" i="107"/>
  <c r="O48" i="107"/>
  <c r="O49" i="107"/>
  <c r="O50" i="107"/>
  <c r="O51" i="107"/>
  <c r="O52" i="107"/>
  <c r="O53" i="107"/>
  <c r="O54" i="107"/>
  <c r="O55" i="107"/>
  <c r="L12" i="15" l="1"/>
  <c r="L11" i="15"/>
  <c r="BB44" i="15" l="1"/>
  <c r="BB29" i="15"/>
  <c r="BB28" i="15"/>
  <c r="BB22" i="15"/>
  <c r="BB21" i="15"/>
  <c r="AY44" i="15"/>
  <c r="AZ44" i="15" s="1"/>
  <c r="AY28" i="15"/>
  <c r="AD44" i="15"/>
  <c r="AE29" i="15"/>
  <c r="AD28" i="15"/>
  <c r="AD21" i="15"/>
  <c r="AA44" i="15"/>
  <c r="AC44" i="15" s="1"/>
  <c r="AA29" i="15"/>
  <c r="AB29" i="15" s="1"/>
  <c r="AA28" i="15"/>
  <c r="AA21" i="15"/>
  <c r="R44" i="15"/>
  <c r="R29" i="15"/>
  <c r="R28" i="15"/>
  <c r="R21" i="15"/>
  <c r="P48" i="15"/>
  <c r="P51" i="15"/>
  <c r="P50" i="15"/>
  <c r="P49" i="15"/>
  <c r="O44" i="15"/>
  <c r="O21" i="15"/>
  <c r="BD57" i="15"/>
  <c r="BA57" i="15"/>
  <c r="AX57" i="15"/>
  <c r="AU57" i="15"/>
  <c r="AR57" i="15"/>
  <c r="AO57" i="15"/>
  <c r="AL57" i="15"/>
  <c r="AI57" i="15"/>
  <c r="AF57" i="15"/>
  <c r="AC57" i="15"/>
  <c r="Z57" i="15"/>
  <c r="W57" i="15"/>
  <c r="T57" i="15"/>
  <c r="BD56" i="15"/>
  <c r="BA56" i="15"/>
  <c r="AX56" i="15"/>
  <c r="AU56" i="15"/>
  <c r="AR56" i="15"/>
  <c r="AO56" i="15"/>
  <c r="AL56" i="15"/>
  <c r="AI56" i="15"/>
  <c r="AF56" i="15"/>
  <c r="AC56" i="15"/>
  <c r="Z56" i="15"/>
  <c r="W56" i="15"/>
  <c r="T56" i="15"/>
  <c r="BB52" i="15"/>
  <c r="AY52" i="15"/>
  <c r="AV52" i="15"/>
  <c r="AS52" i="15"/>
  <c r="AP52" i="15"/>
  <c r="AM52" i="15"/>
  <c r="AJ52" i="15"/>
  <c r="AG52" i="15"/>
  <c r="AD52" i="15"/>
  <c r="AA52" i="15"/>
  <c r="X52" i="15"/>
  <c r="U52" i="15"/>
  <c r="R52" i="15"/>
  <c r="AN48" i="15"/>
  <c r="BD47" i="15"/>
  <c r="BC47" i="15"/>
  <c r="BA47" i="15"/>
  <c r="AZ47" i="15"/>
  <c r="AX47" i="15"/>
  <c r="AW47" i="15"/>
  <c r="AU47" i="15"/>
  <c r="AT47" i="15"/>
  <c r="AR47" i="15"/>
  <c r="AQ47" i="15"/>
  <c r="AO47" i="15"/>
  <c r="AN47" i="15"/>
  <c r="AL47" i="15"/>
  <c r="AK47" i="15"/>
  <c r="AI47" i="15"/>
  <c r="AH47" i="15"/>
  <c r="AF47" i="15"/>
  <c r="AE47" i="15"/>
  <c r="AC47" i="15"/>
  <c r="AB47" i="15"/>
  <c r="Z47" i="15"/>
  <c r="Y47" i="15"/>
  <c r="W47" i="15"/>
  <c r="V47" i="15"/>
  <c r="T47" i="15"/>
  <c r="S47" i="15"/>
  <c r="BD46" i="15"/>
  <c r="BC46" i="15"/>
  <c r="BC43" i="15" s="1"/>
  <c r="BA46" i="15"/>
  <c r="AZ46" i="15"/>
  <c r="AX46" i="15"/>
  <c r="AW46" i="15"/>
  <c r="AU46" i="15"/>
  <c r="AT46" i="15"/>
  <c r="AR46" i="15"/>
  <c r="AQ46" i="15"/>
  <c r="AO46" i="15"/>
  <c r="AN46" i="15"/>
  <c r="AL46" i="15"/>
  <c r="AK46" i="15"/>
  <c r="AI46" i="15"/>
  <c r="AH46" i="15"/>
  <c r="AF46" i="15"/>
  <c r="AE46" i="15"/>
  <c r="AC46" i="15"/>
  <c r="AB46" i="15"/>
  <c r="Z46" i="15"/>
  <c r="Y46" i="15"/>
  <c r="W46" i="15"/>
  <c r="V46" i="15"/>
  <c r="T46" i="15"/>
  <c r="S46" i="15"/>
  <c r="BD45" i="15"/>
  <c r="BC45" i="15"/>
  <c r="BA45" i="15"/>
  <c r="AZ45" i="15"/>
  <c r="AX45" i="15"/>
  <c r="AW45" i="15"/>
  <c r="AU45" i="15"/>
  <c r="AT45" i="15"/>
  <c r="AR45" i="15"/>
  <c r="AQ45" i="15"/>
  <c r="AO45" i="15"/>
  <c r="AN45" i="15"/>
  <c r="AN43" i="15" s="1"/>
  <c r="AL45" i="15"/>
  <c r="AK45" i="15"/>
  <c r="AI45" i="15"/>
  <c r="AH45" i="15"/>
  <c r="AF45" i="15"/>
  <c r="AE45" i="15"/>
  <c r="AC45" i="15"/>
  <c r="AB45" i="15"/>
  <c r="Z45" i="15"/>
  <c r="Y45" i="15"/>
  <c r="W45" i="15"/>
  <c r="V45" i="15"/>
  <c r="V43" i="15" s="1"/>
  <c r="T45" i="15"/>
  <c r="S45" i="15"/>
  <c r="BD44" i="15"/>
  <c r="BC44" i="15"/>
  <c r="BA44" i="15"/>
  <c r="AX44" i="15"/>
  <c r="AW44" i="15"/>
  <c r="AW43" i="15" s="1"/>
  <c r="AU44" i="15"/>
  <c r="AT44" i="15"/>
  <c r="AR44" i="15"/>
  <c r="AQ44" i="15"/>
  <c r="AQ43" i="15" s="1"/>
  <c r="AO44" i="15"/>
  <c r="AN44" i="15"/>
  <c r="AL44" i="15"/>
  <c r="AK44" i="15"/>
  <c r="AK43" i="15" s="1"/>
  <c r="AI44" i="15"/>
  <c r="AH44" i="15"/>
  <c r="AF44" i="15"/>
  <c r="AE44" i="15"/>
  <c r="Z44" i="15"/>
  <c r="Y44" i="15"/>
  <c r="Y43" i="15" s="1"/>
  <c r="W44" i="15"/>
  <c r="V44" i="15"/>
  <c r="T44" i="15"/>
  <c r="S44" i="15"/>
  <c r="AH43" i="15"/>
  <c r="BD42" i="15"/>
  <c r="BC42" i="15"/>
  <c r="BA42" i="15"/>
  <c r="AZ42" i="15"/>
  <c r="AZ40" i="15" s="1"/>
  <c r="AX42" i="15"/>
  <c r="AW42" i="15"/>
  <c r="AU42" i="15"/>
  <c r="AT42" i="15"/>
  <c r="AR42" i="15"/>
  <c r="AQ42" i="15"/>
  <c r="AO42" i="15"/>
  <c r="AN42" i="15"/>
  <c r="AN40" i="15" s="1"/>
  <c r="AL42" i="15"/>
  <c r="AK42" i="15"/>
  <c r="AI42" i="15"/>
  <c r="AH42" i="15"/>
  <c r="AF42" i="15"/>
  <c r="AE42" i="15"/>
  <c r="AC42" i="15"/>
  <c r="AB42" i="15"/>
  <c r="AB40" i="15" s="1"/>
  <c r="Z42" i="15"/>
  <c r="Y42" i="15"/>
  <c r="W42" i="15"/>
  <c r="V42" i="15"/>
  <c r="T42" i="15"/>
  <c r="S42" i="15"/>
  <c r="BD41" i="15"/>
  <c r="BC41" i="15"/>
  <c r="BC40" i="15" s="1"/>
  <c r="BA41" i="15"/>
  <c r="AZ41" i="15"/>
  <c r="AX41" i="15"/>
  <c r="AW41" i="15"/>
  <c r="AU41" i="15"/>
  <c r="AT41" i="15"/>
  <c r="AT40" i="15" s="1"/>
  <c r="AR41" i="15"/>
  <c r="AQ41" i="15"/>
  <c r="AQ40" i="15" s="1"/>
  <c r="AO41" i="15"/>
  <c r="AN41" i="15"/>
  <c r="AL41" i="15"/>
  <c r="AK41" i="15"/>
  <c r="AI41" i="15"/>
  <c r="AH41" i="15"/>
  <c r="AF41" i="15"/>
  <c r="AE41" i="15"/>
  <c r="AC41" i="15"/>
  <c r="AB41" i="15"/>
  <c r="Z41" i="15"/>
  <c r="Y41" i="15"/>
  <c r="W41" i="15"/>
  <c r="V41" i="15"/>
  <c r="T41" i="15"/>
  <c r="S41" i="15"/>
  <c r="AW40" i="15"/>
  <c r="AK40" i="15"/>
  <c r="AH40" i="15"/>
  <c r="Y40" i="15"/>
  <c r="V40" i="15"/>
  <c r="BD39" i="15"/>
  <c r="BC39" i="15"/>
  <c r="BA39" i="15"/>
  <c r="AZ39" i="15"/>
  <c r="AX39" i="15"/>
  <c r="AW39" i="15"/>
  <c r="AU39" i="15"/>
  <c r="AT39" i="15"/>
  <c r="AR39" i="15"/>
  <c r="AQ39" i="15"/>
  <c r="AO39" i="15"/>
  <c r="AN39" i="15"/>
  <c r="AL39" i="15"/>
  <c r="AK39" i="15"/>
  <c r="AI39" i="15"/>
  <c r="AH39" i="15"/>
  <c r="AF39" i="15"/>
  <c r="AE39" i="15"/>
  <c r="AC39" i="15"/>
  <c r="AB39" i="15"/>
  <c r="Z39" i="15"/>
  <c r="Y39" i="15"/>
  <c r="W39" i="15"/>
  <c r="V39" i="15"/>
  <c r="T39" i="15"/>
  <c r="S39" i="15"/>
  <c r="BD38" i="15"/>
  <c r="BC38" i="15"/>
  <c r="BA38" i="15"/>
  <c r="AZ38" i="15"/>
  <c r="AX38" i="15"/>
  <c r="AW38" i="15"/>
  <c r="AU38" i="15"/>
  <c r="AT38" i="15"/>
  <c r="AR38" i="15"/>
  <c r="AQ38" i="15"/>
  <c r="AO38" i="15"/>
  <c r="AN38" i="15"/>
  <c r="AL38" i="15"/>
  <c r="AK38" i="15"/>
  <c r="AI38" i="15"/>
  <c r="AH38" i="15"/>
  <c r="AF38" i="15"/>
  <c r="AE38" i="15"/>
  <c r="AC38" i="15"/>
  <c r="AB38" i="15"/>
  <c r="Z38" i="15"/>
  <c r="Y38" i="15"/>
  <c r="W38" i="15"/>
  <c r="V38" i="15"/>
  <c r="T38" i="15"/>
  <c r="S38" i="15"/>
  <c r="BD37" i="15"/>
  <c r="BC37" i="15"/>
  <c r="BA37" i="15"/>
  <c r="AZ37" i="15"/>
  <c r="AX37" i="15"/>
  <c r="AW37" i="15"/>
  <c r="AU37" i="15"/>
  <c r="AT37" i="15"/>
  <c r="AR37" i="15"/>
  <c r="AQ37" i="15"/>
  <c r="AO37" i="15"/>
  <c r="AN37" i="15"/>
  <c r="AL37" i="15"/>
  <c r="AK37" i="15"/>
  <c r="AI37" i="15"/>
  <c r="AH37" i="15"/>
  <c r="AF37" i="15"/>
  <c r="AE37" i="15"/>
  <c r="AC37" i="15"/>
  <c r="AB37" i="15"/>
  <c r="Z37" i="15"/>
  <c r="Y37" i="15"/>
  <c r="W37" i="15"/>
  <c r="V37" i="15"/>
  <c r="T37" i="15"/>
  <c r="S37" i="15"/>
  <c r="BD36" i="15"/>
  <c r="BC36" i="15"/>
  <c r="BA36" i="15"/>
  <c r="AZ36" i="15"/>
  <c r="AX36" i="15"/>
  <c r="AW36" i="15"/>
  <c r="AU36" i="15"/>
  <c r="AT36" i="15"/>
  <c r="AR36" i="15"/>
  <c r="AQ36" i="15"/>
  <c r="AO36" i="15"/>
  <c r="AN36" i="15"/>
  <c r="AL36" i="15"/>
  <c r="AK36" i="15"/>
  <c r="AI36" i="15"/>
  <c r="AH36" i="15"/>
  <c r="AF36" i="15"/>
  <c r="AE36" i="15"/>
  <c r="AC36" i="15"/>
  <c r="AB36" i="15"/>
  <c r="Z36" i="15"/>
  <c r="Y36" i="15"/>
  <c r="W36" i="15"/>
  <c r="V36" i="15"/>
  <c r="T36" i="15"/>
  <c r="S36" i="15"/>
  <c r="BD35" i="15"/>
  <c r="BC35" i="15"/>
  <c r="BA35" i="15"/>
  <c r="AZ35" i="15"/>
  <c r="AX35" i="15"/>
  <c r="AW35" i="15"/>
  <c r="AU35" i="15"/>
  <c r="AT35" i="15"/>
  <c r="AR35" i="15"/>
  <c r="AQ35" i="15"/>
  <c r="AO35" i="15"/>
  <c r="AN35" i="15"/>
  <c r="AL35" i="15"/>
  <c r="AK35" i="15"/>
  <c r="AI35" i="15"/>
  <c r="AH35" i="15"/>
  <c r="AF35" i="15"/>
  <c r="AE35" i="15"/>
  <c r="AC35" i="15"/>
  <c r="AB35" i="15"/>
  <c r="Z35" i="15"/>
  <c r="Y35" i="15"/>
  <c r="W35" i="15"/>
  <c r="V35" i="15"/>
  <c r="T35" i="15"/>
  <c r="S35" i="15"/>
  <c r="BD34" i="15"/>
  <c r="BC34" i="15"/>
  <c r="BA34" i="15"/>
  <c r="AZ34" i="15"/>
  <c r="AX34" i="15"/>
  <c r="AW34" i="15"/>
  <c r="AU34" i="15"/>
  <c r="AT34" i="15"/>
  <c r="AR34" i="15"/>
  <c r="AQ34" i="15"/>
  <c r="AO34" i="15"/>
  <c r="AN34" i="15"/>
  <c r="AL34" i="15"/>
  <c r="AK34" i="15"/>
  <c r="AI34" i="15"/>
  <c r="AH34" i="15"/>
  <c r="AF34" i="15"/>
  <c r="AE34" i="15"/>
  <c r="AC34" i="15"/>
  <c r="AB34" i="15"/>
  <c r="Z34" i="15"/>
  <c r="Y34" i="15"/>
  <c r="W34" i="15"/>
  <c r="V34" i="15"/>
  <c r="T34" i="15"/>
  <c r="S34" i="15"/>
  <c r="BD33" i="15"/>
  <c r="BC33" i="15"/>
  <c r="BA33" i="15"/>
  <c r="AZ33" i="15"/>
  <c r="AX33" i="15"/>
  <c r="AW33" i="15"/>
  <c r="AU33" i="15"/>
  <c r="AT33" i="15"/>
  <c r="AR33" i="15"/>
  <c r="AQ33" i="15"/>
  <c r="AO33" i="15"/>
  <c r="AN33" i="15"/>
  <c r="AL33" i="15"/>
  <c r="AK33" i="15"/>
  <c r="AI33" i="15"/>
  <c r="AH33" i="15"/>
  <c r="AF33" i="15"/>
  <c r="AE33" i="15"/>
  <c r="AC33" i="15"/>
  <c r="AB33" i="15"/>
  <c r="Z33" i="15"/>
  <c r="Y33" i="15"/>
  <c r="W33" i="15"/>
  <c r="V33" i="15"/>
  <c r="T33" i="15"/>
  <c r="S33" i="15"/>
  <c r="BD32" i="15"/>
  <c r="BC32" i="15"/>
  <c r="BA32" i="15"/>
  <c r="AZ32" i="15"/>
  <c r="AX32" i="15"/>
  <c r="AW32" i="15"/>
  <c r="AU32" i="15"/>
  <c r="AT32" i="15"/>
  <c r="AR32" i="15"/>
  <c r="AQ32" i="15"/>
  <c r="AO32" i="15"/>
  <c r="AN32" i="15"/>
  <c r="AL32" i="15"/>
  <c r="AK32" i="15"/>
  <c r="AI32" i="15"/>
  <c r="AH32" i="15"/>
  <c r="AF32" i="15"/>
  <c r="AE32" i="15"/>
  <c r="AC32" i="15"/>
  <c r="AB32" i="15"/>
  <c r="Z32" i="15"/>
  <c r="Y32" i="15"/>
  <c r="W32" i="15"/>
  <c r="V32" i="15"/>
  <c r="T32" i="15"/>
  <c r="S32" i="15"/>
  <c r="BD31" i="15"/>
  <c r="BC31" i="15"/>
  <c r="BA31" i="15"/>
  <c r="AZ31" i="15"/>
  <c r="AX31" i="15"/>
  <c r="AW31" i="15"/>
  <c r="AU31" i="15"/>
  <c r="AT31" i="15"/>
  <c r="AR31" i="15"/>
  <c r="AQ31" i="15"/>
  <c r="AO31" i="15"/>
  <c r="AN31" i="15"/>
  <c r="AL31" i="15"/>
  <c r="AK31" i="15"/>
  <c r="AI31" i="15"/>
  <c r="AH31" i="15"/>
  <c r="AF31" i="15"/>
  <c r="AE31" i="15"/>
  <c r="AC31" i="15"/>
  <c r="AB31" i="15"/>
  <c r="Z31" i="15"/>
  <c r="Y31" i="15"/>
  <c r="W31" i="15"/>
  <c r="V31" i="15"/>
  <c r="T31" i="15"/>
  <c r="S31" i="15"/>
  <c r="BD30" i="15"/>
  <c r="BC30" i="15"/>
  <c r="BA30" i="15"/>
  <c r="AZ30" i="15"/>
  <c r="AX30" i="15"/>
  <c r="AW30" i="15"/>
  <c r="AU30" i="15"/>
  <c r="AT30" i="15"/>
  <c r="AR30" i="15"/>
  <c r="AQ30" i="15"/>
  <c r="AO30" i="15"/>
  <c r="AN30" i="15"/>
  <c r="AL30" i="15"/>
  <c r="AK30" i="15"/>
  <c r="AI30" i="15"/>
  <c r="AH30" i="15"/>
  <c r="AF30" i="15"/>
  <c r="AE30" i="15"/>
  <c r="AC30" i="15"/>
  <c r="AB30" i="15"/>
  <c r="Z30" i="15"/>
  <c r="Y30" i="15"/>
  <c r="W30" i="15"/>
  <c r="V30" i="15"/>
  <c r="T30" i="15"/>
  <c r="S30" i="15"/>
  <c r="BD29" i="15"/>
  <c r="BC29" i="15"/>
  <c r="BA29" i="15"/>
  <c r="AZ29" i="15"/>
  <c r="AX29" i="15"/>
  <c r="AW29" i="15"/>
  <c r="AU29" i="15"/>
  <c r="AT29" i="15"/>
  <c r="AR29" i="15"/>
  <c r="AQ29" i="15"/>
  <c r="AO29" i="15"/>
  <c r="AN29" i="15"/>
  <c r="AL29" i="15"/>
  <c r="AK29" i="15"/>
  <c r="AI29" i="15"/>
  <c r="AH29" i="15"/>
  <c r="AF29" i="15"/>
  <c r="AC29" i="15"/>
  <c r="Z29" i="15"/>
  <c r="Y29" i="15"/>
  <c r="W29" i="15"/>
  <c r="V29" i="15"/>
  <c r="T29" i="15"/>
  <c r="S29" i="15"/>
  <c r="BD28" i="15"/>
  <c r="BC28" i="15"/>
  <c r="BA28" i="15"/>
  <c r="AZ28" i="15"/>
  <c r="AX28" i="15"/>
  <c r="AW28" i="15"/>
  <c r="AU28" i="15"/>
  <c r="AT28" i="15"/>
  <c r="AR28" i="15"/>
  <c r="AQ28" i="15"/>
  <c r="AO28" i="15"/>
  <c r="AN28" i="15"/>
  <c r="AL28" i="15"/>
  <c r="AK28" i="15"/>
  <c r="AI28" i="15"/>
  <c r="AH28" i="15"/>
  <c r="AF28" i="15"/>
  <c r="AE28" i="15"/>
  <c r="AC28" i="15"/>
  <c r="AB28" i="15"/>
  <c r="Z28" i="15"/>
  <c r="Y28" i="15"/>
  <c r="W28" i="15"/>
  <c r="V28" i="15"/>
  <c r="T28" i="15"/>
  <c r="S28" i="15"/>
  <c r="BD27" i="15"/>
  <c r="BC27" i="15"/>
  <c r="BA27" i="15"/>
  <c r="AZ27" i="15"/>
  <c r="AX27" i="15"/>
  <c r="AW27" i="15"/>
  <c r="AU27" i="15"/>
  <c r="AT27" i="15"/>
  <c r="AR27" i="15"/>
  <c r="AQ27" i="15"/>
  <c r="AO27" i="15"/>
  <c r="AN27" i="15"/>
  <c r="AL27" i="15"/>
  <c r="AK27" i="15"/>
  <c r="AI27" i="15"/>
  <c r="AH27" i="15"/>
  <c r="AF27" i="15"/>
  <c r="AE27" i="15"/>
  <c r="AC27" i="15"/>
  <c r="AB27" i="15"/>
  <c r="Z27" i="15"/>
  <c r="Y27" i="15"/>
  <c r="W27" i="15"/>
  <c r="V27" i="15"/>
  <c r="T27" i="15"/>
  <c r="S27" i="15"/>
  <c r="BD26" i="15"/>
  <c r="BC26" i="15"/>
  <c r="BA26" i="15"/>
  <c r="AZ26" i="15"/>
  <c r="AX26" i="15"/>
  <c r="AW26" i="15"/>
  <c r="AU26" i="15"/>
  <c r="AT26" i="15"/>
  <c r="AR26" i="15"/>
  <c r="AQ26" i="15"/>
  <c r="AO26" i="15"/>
  <c r="AN26" i="15"/>
  <c r="AN24" i="15" s="1"/>
  <c r="AL26" i="15"/>
  <c r="AK26" i="15"/>
  <c r="AI26" i="15"/>
  <c r="AH26" i="15"/>
  <c r="AF26" i="15"/>
  <c r="AE26" i="15"/>
  <c r="AC26" i="15"/>
  <c r="AB26" i="15"/>
  <c r="Z26" i="15"/>
  <c r="Y26" i="15"/>
  <c r="W26" i="15"/>
  <c r="V26" i="15"/>
  <c r="T26" i="15"/>
  <c r="S26" i="15"/>
  <c r="BD25" i="15"/>
  <c r="BC25" i="15"/>
  <c r="BA25" i="15"/>
  <c r="AZ25" i="15"/>
  <c r="AX25" i="15"/>
  <c r="AW25" i="15"/>
  <c r="AW24" i="15" s="1"/>
  <c r="AU25" i="15"/>
  <c r="AT25" i="15"/>
  <c r="AR25" i="15"/>
  <c r="AQ25" i="15"/>
  <c r="AQ24" i="15" s="1"/>
  <c r="AO25" i="15"/>
  <c r="AN25" i="15"/>
  <c r="AL25" i="15"/>
  <c r="AK25" i="15"/>
  <c r="AK24" i="15" s="1"/>
  <c r="AI25" i="15"/>
  <c r="AH25" i="15"/>
  <c r="AF25" i="15"/>
  <c r="AE25" i="15"/>
  <c r="AC25" i="15"/>
  <c r="AB25" i="15"/>
  <c r="Z25" i="15"/>
  <c r="Y25" i="15"/>
  <c r="Y24" i="15" s="1"/>
  <c r="W25" i="15"/>
  <c r="V25" i="15"/>
  <c r="T25" i="15"/>
  <c r="S25" i="15"/>
  <c r="AH24" i="15"/>
  <c r="V24" i="15"/>
  <c r="BD23" i="15"/>
  <c r="BC23" i="15"/>
  <c r="BA23" i="15"/>
  <c r="AZ23" i="15"/>
  <c r="AX23" i="15"/>
  <c r="AW23" i="15"/>
  <c r="AU23" i="15"/>
  <c r="AT23" i="15"/>
  <c r="AR23" i="15"/>
  <c r="AQ23" i="15"/>
  <c r="AO23" i="15"/>
  <c r="AN23" i="15"/>
  <c r="AL23" i="15"/>
  <c r="AK23" i="15"/>
  <c r="AI23" i="15"/>
  <c r="AH23" i="15"/>
  <c r="AF23" i="15"/>
  <c r="AE23" i="15"/>
  <c r="AC23" i="15"/>
  <c r="AB23" i="15"/>
  <c r="Z23" i="15"/>
  <c r="Y23" i="15"/>
  <c r="W23" i="15"/>
  <c r="V23" i="15"/>
  <c r="T23" i="15"/>
  <c r="S23" i="15"/>
  <c r="BD22" i="15"/>
  <c r="BC22" i="15"/>
  <c r="BA22" i="15"/>
  <c r="AZ22" i="15"/>
  <c r="AZ20" i="15" s="1"/>
  <c r="AX22" i="15"/>
  <c r="AW22" i="15"/>
  <c r="AU22" i="15"/>
  <c r="AT22" i="15"/>
  <c r="AR22" i="15"/>
  <c r="AQ22" i="15"/>
  <c r="AO22" i="15"/>
  <c r="AN22" i="15"/>
  <c r="AL22" i="15"/>
  <c r="AK22" i="15"/>
  <c r="AI22" i="15"/>
  <c r="AH22" i="15"/>
  <c r="AF22" i="15"/>
  <c r="AE22" i="15"/>
  <c r="AE20" i="15" s="1"/>
  <c r="AC22" i="15"/>
  <c r="AB22" i="15"/>
  <c r="Z22" i="15"/>
  <c r="Y22" i="15"/>
  <c r="W22" i="15"/>
  <c r="V22" i="15"/>
  <c r="T22" i="15"/>
  <c r="S22" i="15"/>
  <c r="BD21" i="15"/>
  <c r="BC21" i="15"/>
  <c r="BA21" i="15"/>
  <c r="AZ21" i="15"/>
  <c r="AX21" i="15"/>
  <c r="AW21" i="15"/>
  <c r="AW20" i="15" s="1"/>
  <c r="AU21" i="15"/>
  <c r="AT21" i="15"/>
  <c r="AT20" i="15" s="1"/>
  <c r="AR21" i="15"/>
  <c r="AQ21" i="15"/>
  <c r="AO21" i="15"/>
  <c r="AN21" i="15"/>
  <c r="AL21" i="15"/>
  <c r="AK21" i="15"/>
  <c r="AK20" i="15" s="1"/>
  <c r="AI21" i="15"/>
  <c r="AH21" i="15"/>
  <c r="AH20" i="15" s="1"/>
  <c r="AF21" i="15"/>
  <c r="AE21" i="15"/>
  <c r="AC21" i="15"/>
  <c r="AB21" i="15"/>
  <c r="AB20" i="15" s="1"/>
  <c r="Z21" i="15"/>
  <c r="Y21" i="15"/>
  <c r="Y20" i="15" s="1"/>
  <c r="W21" i="15"/>
  <c r="V21" i="15"/>
  <c r="V20" i="15" s="1"/>
  <c r="T21" i="15"/>
  <c r="S21" i="15"/>
  <c r="AQ20" i="15"/>
  <c r="AN20" i="15"/>
  <c r="BD19" i="15"/>
  <c r="BC19" i="15"/>
  <c r="BA19" i="15"/>
  <c r="AZ19" i="15"/>
  <c r="AX19" i="15"/>
  <c r="AW19" i="15"/>
  <c r="AU19" i="15"/>
  <c r="AT19" i="15"/>
  <c r="AR19" i="15"/>
  <c r="AQ19" i="15"/>
  <c r="AO19" i="15"/>
  <c r="AN19" i="15"/>
  <c r="AL19" i="15"/>
  <c r="AK19" i="15"/>
  <c r="AI19" i="15"/>
  <c r="AH19" i="15"/>
  <c r="AF19" i="15"/>
  <c r="AE19" i="15"/>
  <c r="AC19" i="15"/>
  <c r="AB19" i="15"/>
  <c r="Z19" i="15"/>
  <c r="Y19" i="15"/>
  <c r="W19" i="15"/>
  <c r="V19" i="15"/>
  <c r="T19" i="15"/>
  <c r="S19" i="15"/>
  <c r="BD18" i="15"/>
  <c r="BC18" i="15"/>
  <c r="BC16" i="15" s="1"/>
  <c r="BA18" i="15"/>
  <c r="AZ18" i="15"/>
  <c r="AX18" i="15"/>
  <c r="AW18" i="15"/>
  <c r="AU18" i="15"/>
  <c r="AT18" i="15"/>
  <c r="AR18" i="15"/>
  <c r="AQ18" i="15"/>
  <c r="AQ16" i="15" s="1"/>
  <c r="AO18" i="15"/>
  <c r="AN18" i="15"/>
  <c r="AL18" i="15"/>
  <c r="AK18" i="15"/>
  <c r="AI18" i="15"/>
  <c r="AH18" i="15"/>
  <c r="AF18" i="15"/>
  <c r="AE18" i="15"/>
  <c r="AC18" i="15"/>
  <c r="AB18" i="15"/>
  <c r="Z18" i="15"/>
  <c r="Y18" i="15"/>
  <c r="W18" i="15"/>
  <c r="V18" i="15"/>
  <c r="T18" i="15"/>
  <c r="S18" i="15"/>
  <c r="BD17" i="15"/>
  <c r="BC17" i="15"/>
  <c r="BA17" i="15"/>
  <c r="AZ17" i="15"/>
  <c r="AZ16" i="15" s="1"/>
  <c r="AX17" i="15"/>
  <c r="AW17" i="15"/>
  <c r="AU17" i="15"/>
  <c r="AT17" i="15"/>
  <c r="AR17" i="15"/>
  <c r="AQ17" i="15"/>
  <c r="AO17" i="15"/>
  <c r="AN17" i="15"/>
  <c r="AL17" i="15"/>
  <c r="AK17" i="15"/>
  <c r="AI17" i="15"/>
  <c r="AH17" i="15"/>
  <c r="AH16" i="15" s="1"/>
  <c r="AF17" i="15"/>
  <c r="AE17" i="15"/>
  <c r="AC17" i="15"/>
  <c r="AB17" i="15"/>
  <c r="Z17" i="15"/>
  <c r="Y17" i="15"/>
  <c r="W17" i="15"/>
  <c r="V17" i="15"/>
  <c r="V16" i="15" s="1"/>
  <c r="T17" i="15"/>
  <c r="S17" i="15"/>
  <c r="AW16" i="15"/>
  <c r="AN16" i="15"/>
  <c r="AK16" i="15"/>
  <c r="Y16" i="15"/>
  <c r="BD15" i="15"/>
  <c r="BC15" i="15"/>
  <c r="BC14" i="15" s="1"/>
  <c r="BA15" i="15"/>
  <c r="AZ15" i="15"/>
  <c r="AX15" i="15"/>
  <c r="AW15" i="15"/>
  <c r="AW14" i="15" s="1"/>
  <c r="AW48" i="15" s="1"/>
  <c r="AU15" i="15"/>
  <c r="AT15" i="15"/>
  <c r="AT14" i="15" s="1"/>
  <c r="AR15" i="15"/>
  <c r="AQ15" i="15"/>
  <c r="AQ14" i="15" s="1"/>
  <c r="AQ48" i="15" s="1"/>
  <c r="AO15" i="15"/>
  <c r="AN15" i="15"/>
  <c r="AL15" i="15"/>
  <c r="AK15" i="15"/>
  <c r="AK14" i="15" s="1"/>
  <c r="AK48" i="15" s="1"/>
  <c r="AI15" i="15"/>
  <c r="AH15" i="15"/>
  <c r="AF15" i="15"/>
  <c r="AE15" i="15"/>
  <c r="AE14" i="15" s="1"/>
  <c r="AC15" i="15"/>
  <c r="AB15" i="15"/>
  <c r="AB14" i="15" s="1"/>
  <c r="Z15" i="15"/>
  <c r="Y15" i="15"/>
  <c r="W15" i="15"/>
  <c r="V15" i="15"/>
  <c r="T15" i="15"/>
  <c r="S15" i="15"/>
  <c r="S14" i="15" s="1"/>
  <c r="AZ14" i="15"/>
  <c r="AN14" i="15"/>
  <c r="AH14" i="15"/>
  <c r="Y14" i="15"/>
  <c r="Y48" i="15" s="1"/>
  <c r="V14" i="15"/>
  <c r="M51" i="15"/>
  <c r="M50" i="15"/>
  <c r="M49" i="15"/>
  <c r="L48" i="15"/>
  <c r="I44" i="15"/>
  <c r="I21" i="15"/>
  <c r="BC24" i="15" l="1"/>
  <c r="BC20" i="15"/>
  <c r="BC48" i="15"/>
  <c r="BC50" i="15" s="1"/>
  <c r="AZ43" i="15"/>
  <c r="AZ24" i="15"/>
  <c r="AZ48" i="15"/>
  <c r="AZ49" i="15" s="1"/>
  <c r="AT43" i="15"/>
  <c r="AT24" i="15"/>
  <c r="AT16" i="15"/>
  <c r="AE43" i="15"/>
  <c r="AE40" i="15"/>
  <c r="AE24" i="15"/>
  <c r="AE16" i="15"/>
  <c r="AE48" i="15"/>
  <c r="AE50" i="15" s="1"/>
  <c r="AB44" i="15"/>
  <c r="AB43" i="15"/>
  <c r="AB24" i="15"/>
  <c r="AB48" i="15" s="1"/>
  <c r="AB16" i="15"/>
  <c r="S43" i="15"/>
  <c r="S40" i="15"/>
  <c r="S24" i="15"/>
  <c r="S20" i="15"/>
  <c r="S16" i="15"/>
  <c r="S48" i="15"/>
  <c r="S51" i="15" s="1"/>
  <c r="AQ50" i="15"/>
  <c r="AQ49" i="15"/>
  <c r="AQ51" i="15"/>
  <c r="AK50" i="15"/>
  <c r="AK51" i="15"/>
  <c r="AK49" i="15"/>
  <c r="AK52" i="15" s="1"/>
  <c r="AL52" i="15" s="1"/>
  <c r="AW51" i="15"/>
  <c r="AW50" i="15"/>
  <c r="AW49" i="15"/>
  <c r="AW52" i="15" s="1"/>
  <c r="AX52" i="15" s="1"/>
  <c r="AX59" i="15" s="1"/>
  <c r="Y51" i="15"/>
  <c r="Y50" i="15"/>
  <c r="AN51" i="15"/>
  <c r="AN50" i="15"/>
  <c r="Y49" i="15"/>
  <c r="Y52" i="15" s="1"/>
  <c r="Z52" i="15" s="1"/>
  <c r="Z59" i="15" s="1"/>
  <c r="AT48" i="15"/>
  <c r="AL59" i="15"/>
  <c r="AO59" i="15"/>
  <c r="AH48" i="15"/>
  <c r="V48" i="15"/>
  <c r="AN49" i="15"/>
  <c r="AN52" i="15" s="1"/>
  <c r="AO52" i="15" s="1"/>
  <c r="BC51" i="15" l="1"/>
  <c r="BC49" i="15"/>
  <c r="AZ50" i="15"/>
  <c r="AZ51" i="15"/>
  <c r="AE51" i="15"/>
  <c r="AE49" i="15"/>
  <c r="AB51" i="15"/>
  <c r="AB50" i="15"/>
  <c r="AB49" i="15"/>
  <c r="S50" i="15"/>
  <c r="S49" i="15"/>
  <c r="AT49" i="15"/>
  <c r="AT51" i="15"/>
  <c r="AT50" i="15"/>
  <c r="AN53" i="15"/>
  <c r="AH49" i="15"/>
  <c r="AH52" i="15" s="1"/>
  <c r="AI52" i="15" s="1"/>
  <c r="AI59" i="15" s="1"/>
  <c r="AH51" i="15"/>
  <c r="AH50" i="15"/>
  <c r="AK53" i="15"/>
  <c r="AQ52" i="15"/>
  <c r="V49" i="15"/>
  <c r="V51" i="15"/>
  <c r="V50" i="15"/>
  <c r="Y53" i="15"/>
  <c r="AW53" i="15"/>
  <c r="BC52" i="15" l="1"/>
  <c r="BC53" i="15" s="1"/>
  <c r="AZ52" i="15"/>
  <c r="BA52" i="15" s="1"/>
  <c r="BA59" i="15" s="1"/>
  <c r="AT52" i="15"/>
  <c r="AU52" i="15" s="1"/>
  <c r="AU59" i="15" s="1"/>
  <c r="AE52" i="15"/>
  <c r="AF52" i="15" s="1"/>
  <c r="AF59" i="15" s="1"/>
  <c r="AB52" i="15"/>
  <c r="S52" i="15"/>
  <c r="AK54" i="15"/>
  <c r="AK55" i="15"/>
  <c r="AK58" i="15" s="1"/>
  <c r="AW54" i="15"/>
  <c r="AW55" i="15"/>
  <c r="AW58" i="15" s="1"/>
  <c r="AR52" i="15"/>
  <c r="AR59" i="15" s="1"/>
  <c r="AQ53" i="15"/>
  <c r="AN54" i="15"/>
  <c r="AN55" i="15" s="1"/>
  <c r="AN58" i="15" s="1"/>
  <c r="Y54" i="15"/>
  <c r="Y55" i="15" s="1"/>
  <c r="Y58" i="15" s="1"/>
  <c r="V52" i="15"/>
  <c r="T52" i="15"/>
  <c r="T59" i="15" s="1"/>
  <c r="S53" i="15"/>
  <c r="AH53" i="15"/>
  <c r="BD52" i="15" l="1"/>
  <c r="BD59" i="15" s="1"/>
  <c r="AZ53" i="15"/>
  <c r="AZ54" i="15" s="1"/>
  <c r="AZ55" i="15" s="1"/>
  <c r="AZ58" i="15" s="1"/>
  <c r="AT53" i="15"/>
  <c r="AT54" i="15" s="1"/>
  <c r="AT55" i="15" s="1"/>
  <c r="AT58" i="15" s="1"/>
  <c r="AE53" i="15"/>
  <c r="AE54" i="15" s="1"/>
  <c r="AE55" i="15" s="1"/>
  <c r="AE58" i="15" s="1"/>
  <c r="AC52" i="15"/>
  <c r="AC59" i="15" s="1"/>
  <c r="AB53" i="15"/>
  <c r="AB54" i="15" s="1"/>
  <c r="AB55" i="15" s="1"/>
  <c r="AB58" i="15" s="1"/>
  <c r="S54" i="15"/>
  <c r="S55" i="15" s="1"/>
  <c r="S58" i="15" s="1"/>
  <c r="W52" i="15"/>
  <c r="W59" i="15" s="1"/>
  <c r="V53" i="15"/>
  <c r="AH54" i="15"/>
  <c r="AH55" i="15" s="1"/>
  <c r="AH58" i="15" s="1"/>
  <c r="AQ55" i="15"/>
  <c r="AQ58" i="15" s="1"/>
  <c r="AQ54" i="15"/>
  <c r="BC54" i="15"/>
  <c r="BC55" i="15" s="1"/>
  <c r="BC58" i="15" s="1"/>
  <c r="V54" i="15" l="1"/>
  <c r="V55" i="15" s="1"/>
  <c r="V58" i="15" s="1"/>
  <c r="E15" i="107" l="1"/>
  <c r="Q57" i="15"/>
  <c r="N57" i="15"/>
  <c r="Q56" i="15"/>
  <c r="N56" i="15"/>
  <c r="O52" i="15"/>
  <c r="L52" i="15"/>
  <c r="Q47" i="15"/>
  <c r="P47" i="15"/>
  <c r="N47" i="15"/>
  <c r="M47" i="15"/>
  <c r="Q46" i="15"/>
  <c r="P46" i="15"/>
  <c r="N46" i="15"/>
  <c r="M46" i="15"/>
  <c r="Q45" i="15"/>
  <c r="P45" i="15"/>
  <c r="N45" i="15"/>
  <c r="M45" i="15"/>
  <c r="Q44" i="15"/>
  <c r="P44" i="15"/>
  <c r="N44" i="15"/>
  <c r="M44" i="15"/>
  <c r="Q42" i="15"/>
  <c r="P42" i="15"/>
  <c r="N42" i="15"/>
  <c r="M42" i="15"/>
  <c r="Q41" i="15"/>
  <c r="P41" i="15"/>
  <c r="P40" i="15" s="1"/>
  <c r="N41" i="15"/>
  <c r="M41" i="15"/>
  <c r="Q39" i="15"/>
  <c r="P39" i="15"/>
  <c r="N39" i="15"/>
  <c r="M39" i="15"/>
  <c r="Q38" i="15"/>
  <c r="P38" i="15"/>
  <c r="N38" i="15"/>
  <c r="M38" i="15"/>
  <c r="Q37" i="15"/>
  <c r="P37" i="15"/>
  <c r="N37" i="15"/>
  <c r="M37" i="15"/>
  <c r="Q36" i="15"/>
  <c r="P36" i="15"/>
  <c r="N36" i="15"/>
  <c r="M36" i="15"/>
  <c r="Q35" i="15"/>
  <c r="P35" i="15"/>
  <c r="N35" i="15"/>
  <c r="M35" i="15"/>
  <c r="Q34" i="15"/>
  <c r="P34" i="15"/>
  <c r="N34" i="15"/>
  <c r="M34" i="15"/>
  <c r="Q33" i="15"/>
  <c r="P33" i="15"/>
  <c r="N33" i="15"/>
  <c r="M33" i="15"/>
  <c r="Q32" i="15"/>
  <c r="P32" i="15"/>
  <c r="N32" i="15"/>
  <c r="M32" i="15"/>
  <c r="Q31" i="15"/>
  <c r="P31" i="15"/>
  <c r="N31" i="15"/>
  <c r="M31" i="15"/>
  <c r="Q30" i="15"/>
  <c r="P30" i="15"/>
  <c r="N30" i="15"/>
  <c r="M30" i="15"/>
  <c r="Q29" i="15"/>
  <c r="P29" i="15"/>
  <c r="N29" i="15"/>
  <c r="M29" i="15"/>
  <c r="Q28" i="15"/>
  <c r="P28" i="15"/>
  <c r="N28" i="15"/>
  <c r="M28" i="15"/>
  <c r="Q27" i="15"/>
  <c r="P27" i="15"/>
  <c r="N27" i="15"/>
  <c r="M27" i="15"/>
  <c r="Q26" i="15"/>
  <c r="P26" i="15"/>
  <c r="N26" i="15"/>
  <c r="M26" i="15"/>
  <c r="Q25" i="15"/>
  <c r="P25" i="15"/>
  <c r="N25" i="15"/>
  <c r="M25" i="15"/>
  <c r="Q23" i="15"/>
  <c r="P23" i="15"/>
  <c r="N23" i="15"/>
  <c r="M23" i="15"/>
  <c r="Q22" i="15"/>
  <c r="P22" i="15"/>
  <c r="N22" i="15"/>
  <c r="M22" i="15"/>
  <c r="Q21" i="15"/>
  <c r="P21" i="15"/>
  <c r="N21" i="15"/>
  <c r="M21" i="15"/>
  <c r="Q19" i="15"/>
  <c r="P19" i="15"/>
  <c r="N19" i="15"/>
  <c r="M19" i="15"/>
  <c r="Q18" i="15"/>
  <c r="P18" i="15"/>
  <c r="N18" i="15"/>
  <c r="M18" i="15"/>
  <c r="Q17" i="15"/>
  <c r="P17" i="15"/>
  <c r="N17" i="15"/>
  <c r="M17" i="15"/>
  <c r="Q15" i="15"/>
  <c r="P15" i="15"/>
  <c r="P14" i="15" s="1"/>
  <c r="N15" i="15"/>
  <c r="M15" i="15"/>
  <c r="M14" i="15"/>
  <c r="P43" i="15" l="1"/>
  <c r="P24" i="15"/>
  <c r="M43" i="15"/>
  <c r="M40" i="15"/>
  <c r="M24" i="15"/>
  <c r="M48" i="15" s="1"/>
  <c r="M16" i="15"/>
  <c r="P20" i="15"/>
  <c r="M20" i="15"/>
  <c r="P16" i="15"/>
  <c r="K22" i="15" l="1"/>
  <c r="K21" i="15"/>
  <c r="J47" i="15"/>
  <c r="J46" i="15"/>
  <c r="J45" i="15"/>
  <c r="J44" i="15"/>
  <c r="J42" i="15"/>
  <c r="J41" i="15"/>
  <c r="J39" i="15"/>
  <c r="J38" i="15"/>
  <c r="J37" i="15"/>
  <c r="J36" i="15"/>
  <c r="J35" i="15"/>
  <c r="J34" i="15"/>
  <c r="J33" i="15"/>
  <c r="J32" i="15"/>
  <c r="J31" i="15"/>
  <c r="J30" i="15"/>
  <c r="J29" i="15"/>
  <c r="J28" i="15"/>
  <c r="J27" i="15"/>
  <c r="J26" i="15"/>
  <c r="J25" i="15"/>
  <c r="J23" i="15"/>
  <c r="J22" i="15"/>
  <c r="J21" i="15"/>
  <c r="J19" i="15"/>
  <c r="J18" i="15"/>
  <c r="J17" i="15"/>
  <c r="J15" i="15"/>
  <c r="I52" i="15" l="1"/>
  <c r="K57" i="15"/>
  <c r="G52" i="15"/>
  <c r="K45" i="15"/>
  <c r="H45" i="15"/>
  <c r="K47" i="15"/>
  <c r="H47" i="15"/>
  <c r="K46" i="15" l="1"/>
  <c r="H46" i="15"/>
  <c r="K38" i="15"/>
  <c r="H38" i="15"/>
  <c r="K37" i="15"/>
  <c r="H37" i="15"/>
  <c r="K36" i="15"/>
  <c r="H36" i="15"/>
  <c r="K35" i="15"/>
  <c r="H35" i="15"/>
  <c r="K34" i="15"/>
  <c r="H34" i="15"/>
  <c r="K33" i="15"/>
  <c r="H33" i="15"/>
  <c r="K32" i="15"/>
  <c r="H32" i="15"/>
  <c r="K31" i="15"/>
  <c r="H31" i="15"/>
  <c r="K30" i="15"/>
  <c r="H30" i="15"/>
  <c r="K29" i="15"/>
  <c r="H29" i="15"/>
  <c r="K28" i="15"/>
  <c r="H28" i="15"/>
  <c r="K27" i="15"/>
  <c r="H27" i="15"/>
  <c r="K26" i="15"/>
  <c r="H26" i="15"/>
  <c r="K18" i="15"/>
  <c r="H18" i="15"/>
  <c r="K42" i="15"/>
  <c r="H42" i="15"/>
  <c r="K41" i="15"/>
  <c r="H41" i="15"/>
  <c r="K39" i="15"/>
  <c r="H39" i="15"/>
  <c r="K25" i="15"/>
  <c r="H25" i="15"/>
  <c r="H40" i="15" l="1"/>
  <c r="H24" i="15"/>
  <c r="J24" i="15"/>
  <c r="J40" i="15"/>
  <c r="H22" i="15"/>
  <c r="K56" i="15" l="1"/>
  <c r="H15" i="15" l="1"/>
  <c r="H14" i="15" l="1"/>
  <c r="H44" i="15" l="1"/>
  <c r="H43" i="15" s="1"/>
  <c r="J43" i="15"/>
  <c r="K44" i="15"/>
  <c r="K23" i="15"/>
  <c r="H23" i="15"/>
  <c r="H21" i="15"/>
  <c r="H20" i="15" l="1"/>
  <c r="J20" i="15"/>
  <c r="H17" i="15" l="1"/>
  <c r="H19" i="15"/>
  <c r="AA10" i="15"/>
  <c r="AB59" i="15" s="1"/>
  <c r="AS10" i="15"/>
  <c r="AT59" i="15" s="1"/>
  <c r="AD10" i="15"/>
  <c r="AE59" i="15" s="1"/>
  <c r="AP10" i="15"/>
  <c r="AQ59" i="15" s="1"/>
  <c r="AG10" i="15"/>
  <c r="AH59" i="15" s="1"/>
  <c r="L10" i="15"/>
  <c r="X10" i="15"/>
  <c r="Y59" i="15" s="1"/>
  <c r="AJ10" i="15"/>
  <c r="AK59" i="15" s="1"/>
  <c r="AV10" i="15"/>
  <c r="AW59" i="15" s="1"/>
  <c r="U10" i="15"/>
  <c r="V59" i="15" s="1"/>
  <c r="AM10" i="15"/>
  <c r="AN59" i="15" s="1"/>
  <c r="AY10" i="15"/>
  <c r="AZ59" i="15" s="1"/>
  <c r="R10" i="15"/>
  <c r="S59" i="15" s="1"/>
  <c r="BB10" i="15"/>
  <c r="BC59" i="15" s="1"/>
  <c r="O10" i="15"/>
  <c r="K19" i="15"/>
  <c r="K17" i="15"/>
  <c r="K15" i="15"/>
  <c r="I10" i="15"/>
  <c r="M32" i="10"/>
  <c r="C22" i="10"/>
  <c r="J22" i="10" s="1"/>
  <c r="C23" i="10"/>
  <c r="I23" i="10" s="1"/>
  <c r="C24" i="10"/>
  <c r="J24" i="10" s="1"/>
  <c r="C25" i="10"/>
  <c r="J25" i="10" s="1"/>
  <c r="C26" i="10"/>
  <c r="C27" i="10"/>
  <c r="D27" i="10" s="1"/>
  <c r="C28" i="10"/>
  <c r="J28" i="10" s="1"/>
  <c r="C29" i="10"/>
  <c r="J29" i="10" s="1"/>
  <c r="C30" i="10"/>
  <c r="C31" i="10"/>
  <c r="D31" i="10" s="1"/>
  <c r="C46" i="107"/>
  <c r="D46" i="107" s="1"/>
  <c r="C47" i="107"/>
  <c r="D47" i="107" s="1"/>
  <c r="C48" i="107"/>
  <c r="D48" i="107" s="1"/>
  <c r="C49" i="107"/>
  <c r="D49" i="107" s="1"/>
  <c r="C50" i="107"/>
  <c r="D50" i="107" s="1"/>
  <c r="C51" i="107"/>
  <c r="D51" i="107" s="1"/>
  <c r="C52" i="107"/>
  <c r="D52" i="107" s="1"/>
  <c r="C53" i="107"/>
  <c r="D53" i="107" s="1"/>
  <c r="C54" i="107"/>
  <c r="D54" i="107" s="1"/>
  <c r="C55" i="107"/>
  <c r="D55" i="107" s="1"/>
  <c r="C56" i="107"/>
  <c r="D56" i="107" s="1"/>
  <c r="C57" i="107"/>
  <c r="D57" i="107" s="1"/>
  <c r="C58" i="107"/>
  <c r="D58" i="107" s="1"/>
  <c r="C59" i="107"/>
  <c r="D59" i="107" s="1"/>
  <c r="C45" i="107"/>
  <c r="D45" i="107" s="1"/>
  <c r="BB12" i="15"/>
  <c r="BB11" i="15"/>
  <c r="BB60" i="15" s="1"/>
  <c r="AY12" i="15"/>
  <c r="AY11" i="15"/>
  <c r="AY60" i="15" s="1"/>
  <c r="AV12" i="15"/>
  <c r="AV11" i="15"/>
  <c r="AV60" i="15" s="1"/>
  <c r="AS12" i="15"/>
  <c r="AS11" i="15"/>
  <c r="AS60" i="15" s="1"/>
  <c r="AP12" i="15"/>
  <c r="AP11" i="15"/>
  <c r="AP60" i="15" s="1"/>
  <c r="I12" i="15"/>
  <c r="I11" i="15"/>
  <c r="I60" i="15" s="1"/>
  <c r="AM11" i="15"/>
  <c r="AM60" i="15" s="1"/>
  <c r="AM12" i="15"/>
  <c r="AJ12" i="15"/>
  <c r="AJ11" i="15"/>
  <c r="AJ60" i="15" s="1"/>
  <c r="AG12" i="15"/>
  <c r="AG11" i="15"/>
  <c r="AG60" i="15" s="1"/>
  <c r="AD12" i="15"/>
  <c r="AD11" i="15"/>
  <c r="AD60" i="15" s="1"/>
  <c r="AA12" i="15"/>
  <c r="AA11" i="15"/>
  <c r="AA60" i="15" s="1"/>
  <c r="X12" i="15"/>
  <c r="X11" i="15"/>
  <c r="X60" i="15" s="1"/>
  <c r="U12" i="15"/>
  <c r="U11" i="15"/>
  <c r="U60" i="15" s="1"/>
  <c r="R12" i="15"/>
  <c r="R11" i="15"/>
  <c r="R60" i="15" s="1"/>
  <c r="O12" i="15"/>
  <c r="O11" i="15"/>
  <c r="O60" i="15" s="1"/>
  <c r="L60" i="15"/>
  <c r="C17" i="10"/>
  <c r="J17" i="10" s="1"/>
  <c r="C18" i="10"/>
  <c r="J18" i="10" s="1"/>
  <c r="C19" i="10"/>
  <c r="J19" i="10" s="1"/>
  <c r="C20" i="10"/>
  <c r="C21" i="10"/>
  <c r="J21" i="10" s="1"/>
  <c r="K14" i="10"/>
  <c r="B8" i="10"/>
  <c r="P8" i="10" s="1"/>
  <c r="H14" i="107"/>
  <c r="E38" i="107" s="1"/>
  <c r="C44" i="107"/>
  <c r="D44" i="107" s="1"/>
  <c r="AH42" i="107"/>
  <c r="AG42" i="107"/>
  <c r="AF42" i="107"/>
  <c r="AE42" i="107"/>
  <c r="B7" i="107"/>
  <c r="B5" i="107"/>
  <c r="B3" i="107"/>
  <c r="B1" i="107"/>
  <c r="C16" i="10"/>
  <c r="J16" i="10" s="1"/>
  <c r="E32" i="13"/>
  <c r="E33" i="13"/>
  <c r="E34" i="13"/>
  <c r="B5" i="10"/>
  <c r="P5" i="10" s="1"/>
  <c r="B5" i="15"/>
  <c r="B7" i="10"/>
  <c r="P7" i="10" s="1"/>
  <c r="P4" i="10"/>
  <c r="B3" i="10"/>
  <c r="P3" i="10" s="1"/>
  <c r="P2" i="10"/>
  <c r="B1" i="10"/>
  <c r="P1" i="10" s="1"/>
  <c r="B3" i="15"/>
  <c r="B7" i="15"/>
  <c r="B1" i="15"/>
  <c r="P17" i="10"/>
  <c r="P18" i="10" s="1"/>
  <c r="P19" i="10" s="1"/>
  <c r="P20" i="10" s="1"/>
  <c r="P21" i="10" s="1"/>
  <c r="P22" i="10" s="1"/>
  <c r="P23" i="10" s="1"/>
  <c r="P24" i="10" s="1"/>
  <c r="P25" i="10" s="1"/>
  <c r="P26" i="10" s="1"/>
  <c r="P27" i="10" s="1"/>
  <c r="P28" i="10" s="1"/>
  <c r="P29" i="10" s="1"/>
  <c r="P30" i="10" s="1"/>
  <c r="P31" i="10" s="1"/>
  <c r="M30" i="10"/>
  <c r="J30" i="10"/>
  <c r="D26" i="10"/>
  <c r="J26" i="10"/>
  <c r="D30" i="10"/>
  <c r="I20" i="10"/>
  <c r="M28" i="10"/>
  <c r="I19" i="10"/>
  <c r="H19" i="10"/>
  <c r="H30" i="10"/>
  <c r="I30" i="10"/>
  <c r="M26" i="10"/>
  <c r="I26" i="10"/>
  <c r="H26" i="10"/>
  <c r="D22" i="10"/>
  <c r="I22" i="10"/>
  <c r="H22" i="10"/>
  <c r="D24" i="10"/>
  <c r="I24" i="10"/>
  <c r="H24" i="10"/>
  <c r="M18" i="10"/>
  <c r="M29" i="10"/>
  <c r="I29" i="10"/>
  <c r="H29" i="10"/>
  <c r="I25" i="10"/>
  <c r="H25" i="10"/>
  <c r="M16" i="10"/>
  <c r="D28" i="10"/>
  <c r="D29" i="10"/>
  <c r="D19" i="10"/>
  <c r="M22" i="10"/>
  <c r="M19" i="10"/>
  <c r="M24" i="10"/>
  <c r="D20" i="10"/>
  <c r="D25" i="10"/>
  <c r="M25" i="10"/>
  <c r="D18" i="10"/>
  <c r="M27" i="10" l="1"/>
  <c r="M31" i="10"/>
  <c r="H18" i="10"/>
  <c r="I18" i="10"/>
  <c r="D23" i="10"/>
  <c r="H21" i="10"/>
  <c r="I31" i="10"/>
  <c r="M23" i="10"/>
  <c r="I21" i="10"/>
  <c r="H31" i="10"/>
  <c r="D21" i="10"/>
  <c r="M21" i="10"/>
  <c r="E35" i="13"/>
  <c r="H16" i="10"/>
  <c r="J31" i="10"/>
  <c r="J20" i="10"/>
  <c r="H20" i="10"/>
  <c r="H17" i="10"/>
  <c r="D17" i="10"/>
  <c r="D16" i="10"/>
  <c r="H28" i="10"/>
  <c r="I17" i="10"/>
  <c r="J23" i="10"/>
  <c r="H23" i="10"/>
  <c r="M17" i="10"/>
  <c r="J27" i="10"/>
  <c r="H27" i="10"/>
  <c r="M20" i="10"/>
  <c r="I28" i="10"/>
  <c r="I27" i="10"/>
  <c r="I16" i="10"/>
  <c r="J16" i="15"/>
  <c r="H16" i="15"/>
  <c r="H48" i="15" s="1"/>
  <c r="J14" i="15"/>
  <c r="H49" i="15" l="1"/>
  <c r="H50" i="15"/>
  <c r="H51" i="15"/>
  <c r="J48" i="15"/>
  <c r="J50" i="15" l="1"/>
  <c r="J49" i="15"/>
  <c r="J51" i="15"/>
  <c r="H52" i="15"/>
  <c r="H53" i="15" s="1"/>
  <c r="P52" i="15" l="1"/>
  <c r="P53" i="15" s="1"/>
  <c r="M52" i="15"/>
  <c r="J52" i="15"/>
  <c r="J53" i="15" s="1"/>
  <c r="J54" i="15" s="1"/>
  <c r="H54" i="15"/>
  <c r="Q52" i="15" l="1"/>
  <c r="Q59" i="15" s="1"/>
  <c r="N52" i="15"/>
  <c r="N59" i="15" s="1"/>
  <c r="M53" i="15"/>
  <c r="P54" i="15"/>
  <c r="P55" i="15" s="1"/>
  <c r="P58" i="15" s="1"/>
  <c r="J55" i="15"/>
  <c r="J58" i="15" s="1"/>
  <c r="K52" i="15"/>
  <c r="K59" i="15" s="1"/>
  <c r="H55" i="15"/>
  <c r="H58" i="15" s="1"/>
  <c r="H59" i="15" s="1"/>
  <c r="P59" i="15" l="1"/>
  <c r="M54" i="15"/>
  <c r="M55" i="15" s="1"/>
  <c r="M58" i="15" s="1"/>
  <c r="M59" i="15" s="1"/>
  <c r="E45" i="107" s="1"/>
  <c r="E17" i="10" s="1"/>
  <c r="E50" i="107"/>
  <c r="F50" i="107" s="1"/>
  <c r="J59" i="15"/>
  <c r="H24" i="107"/>
  <c r="E22" i="10" l="1"/>
  <c r="G50" i="107"/>
  <c r="F22" i="10" s="1"/>
  <c r="G45" i="107"/>
  <c r="F17" i="10" s="1"/>
  <c r="I45" i="107"/>
  <c r="F45" i="107"/>
  <c r="E52" i="107"/>
  <c r="E24" i="10" s="1"/>
  <c r="E46" i="107"/>
  <c r="E48" i="107"/>
  <c r="E20" i="10" s="1"/>
  <c r="I50" i="107"/>
  <c r="E47" i="107"/>
  <c r="E19" i="10" s="1"/>
  <c r="E49" i="107"/>
  <c r="E21" i="10" s="1"/>
  <c r="E51" i="107"/>
  <c r="E44" i="107"/>
  <c r="E16" i="10" s="1"/>
  <c r="E53" i="107"/>
  <c r="E25" i="10" s="1"/>
  <c r="E18" i="10" l="1"/>
  <c r="E23" i="10"/>
  <c r="F44" i="107"/>
  <c r="G44" i="107"/>
  <c r="F16" i="10" s="1"/>
  <c r="F51" i="107"/>
  <c r="I51" i="107"/>
  <c r="G51" i="107"/>
  <c r="F23" i="10" s="1"/>
  <c r="F47" i="107"/>
  <c r="G47" i="107"/>
  <c r="I47" i="107"/>
  <c r="I44" i="107"/>
  <c r="F48" i="107"/>
  <c r="I48" i="107"/>
  <c r="G48" i="107"/>
  <c r="F52" i="107"/>
  <c r="I52" i="107"/>
  <c r="G52" i="107"/>
  <c r="F24" i="10" s="1"/>
  <c r="I49" i="107"/>
  <c r="F49" i="107"/>
  <c r="G49" i="107"/>
  <c r="G46" i="107"/>
  <c r="F46" i="107"/>
  <c r="I46" i="107"/>
  <c r="I53" i="107"/>
  <c r="F53" i="107"/>
  <c r="G53" i="107"/>
  <c r="F25" i="10" s="1"/>
  <c r="E54" i="107"/>
  <c r="E26" i="10" s="1"/>
  <c r="F20" i="10" l="1"/>
  <c r="F19" i="10"/>
  <c r="F21" i="10"/>
  <c r="F18" i="10"/>
  <c r="E55" i="107"/>
  <c r="E27" i="10" s="1"/>
  <c r="G54" i="107"/>
  <c r="F26" i="10" s="1"/>
  <c r="F54" i="107"/>
  <c r="I54" i="107"/>
  <c r="I55" i="107" l="1"/>
  <c r="G55" i="107"/>
  <c r="F27" i="10" s="1"/>
  <c r="F55" i="107"/>
  <c r="E56" i="107"/>
  <c r="E28" i="10" s="1"/>
  <c r="E57" i="107" l="1"/>
  <c r="O56" i="107" s="1"/>
  <c r="I56" i="107"/>
  <c r="F56" i="107"/>
  <c r="G56" i="107"/>
  <c r="F28" i="10" s="1"/>
  <c r="E29" i="10" l="1"/>
  <c r="F57" i="107"/>
  <c r="G57" i="107"/>
  <c r="F29" i="10" s="1"/>
  <c r="I57" i="107"/>
  <c r="E58" i="107"/>
  <c r="E30" i="10" s="1"/>
  <c r="I58" i="107" l="1"/>
  <c r="F58" i="107"/>
  <c r="G58" i="107"/>
  <c r="F30" i="10" s="1"/>
  <c r="O57" i="107"/>
  <c r="E59" i="107"/>
  <c r="E31" i="10" s="1"/>
  <c r="I59" i="107" l="1"/>
  <c r="F59" i="107"/>
  <c r="G59" i="107"/>
  <c r="F31" i="10" s="1"/>
  <c r="O58" i="107"/>
  <c r="O59" i="107" l="1"/>
  <c r="N50" i="107" l="1"/>
  <c r="N46" i="107"/>
  <c r="N53" i="107"/>
  <c r="N47" i="107"/>
  <c r="N48" i="107"/>
  <c r="N55" i="107"/>
  <c r="N44" i="107"/>
  <c r="N45" i="107"/>
  <c r="N57" i="107"/>
  <c r="H18" i="107"/>
  <c r="N51" i="107"/>
  <c r="N54" i="107"/>
  <c r="N52" i="107"/>
  <c r="N49" i="107"/>
  <c r="N58" i="107"/>
  <c r="N56" i="107"/>
  <c r="N59" i="107"/>
  <c r="H32" i="107" l="1"/>
  <c r="H34" i="107" s="1"/>
  <c r="H23" i="107"/>
  <c r="H33" i="107"/>
  <c r="H21" i="107"/>
  <c r="H28" i="107" s="1"/>
  <c r="H38" i="107" s="1"/>
  <c r="H19" i="107"/>
  <c r="H22" i="107"/>
  <c r="H20" i="107"/>
  <c r="H30" i="107" l="1"/>
  <c r="J48" i="107"/>
  <c r="J47" i="107"/>
  <c r="J51" i="107"/>
  <c r="J44" i="107"/>
  <c r="J50" i="107"/>
  <c r="J53" i="107"/>
  <c r="J49" i="107"/>
  <c r="J54" i="107"/>
  <c r="J46" i="107"/>
  <c r="J52" i="107"/>
  <c r="J45" i="107"/>
  <c r="J55" i="107"/>
  <c r="J56" i="107"/>
  <c r="J57" i="107"/>
  <c r="J58" i="107"/>
  <c r="J59" i="107"/>
  <c r="M44" i="107"/>
  <c r="M51" i="107"/>
  <c r="M47" i="107"/>
  <c r="M45" i="107"/>
  <c r="M53" i="107"/>
  <c r="M50" i="107"/>
  <c r="M54" i="107"/>
  <c r="M52" i="107"/>
  <c r="M48" i="107"/>
  <c r="M49" i="107"/>
  <c r="M46" i="107"/>
  <c r="M55" i="107"/>
  <c r="M56" i="107"/>
  <c r="M57" i="107"/>
  <c r="M58" i="107"/>
  <c r="M59" i="107"/>
  <c r="H35" i="107"/>
  <c r="H65" i="107" l="1"/>
  <c r="K44" i="107"/>
  <c r="K53" i="107"/>
  <c r="K48" i="107"/>
  <c r="K59" i="107"/>
  <c r="K51" i="107"/>
  <c r="K54" i="107"/>
  <c r="K45" i="107"/>
  <c r="K57" i="107"/>
  <c r="K49" i="107"/>
  <c r="K58" i="107"/>
  <c r="K52" i="107"/>
  <c r="K55" i="107"/>
  <c r="K46" i="107"/>
  <c r="K56" i="107"/>
  <c r="K50" i="107"/>
  <c r="K47" i="107"/>
  <c r="L51" i="107"/>
  <c r="L52" i="107"/>
  <c r="L45" i="107"/>
  <c r="L49" i="107"/>
  <c r="L44" i="107"/>
  <c r="L48" i="107"/>
  <c r="L50" i="107"/>
  <c r="L53" i="107"/>
  <c r="L47" i="107"/>
  <c r="L54" i="107"/>
  <c r="L46" i="107"/>
  <c r="L55" i="107"/>
  <c r="L56" i="107"/>
  <c r="L57" i="107"/>
  <c r="L58" i="107"/>
  <c r="L59" i="107"/>
  <c r="H64" i="107" l="1"/>
  <c r="H59" i="107"/>
  <c r="G31" i="10" s="1"/>
  <c r="K31" i="10" s="1"/>
  <c r="H55" i="107"/>
  <c r="G27" i="10" s="1"/>
  <c r="K27" i="10" s="1"/>
  <c r="H51" i="107"/>
  <c r="G23" i="10" s="1"/>
  <c r="K23" i="10" s="1"/>
  <c r="H47" i="107"/>
  <c r="G19" i="10" s="1"/>
  <c r="K19" i="10" s="1"/>
  <c r="H53" i="107"/>
  <c r="G25" i="10" s="1"/>
  <c r="K25" i="10" s="1"/>
  <c r="H45" i="107"/>
  <c r="G17" i="10" s="1"/>
  <c r="K17" i="10" s="1"/>
  <c r="H58" i="107"/>
  <c r="G30" i="10" s="1"/>
  <c r="K30" i="10" s="1"/>
  <c r="H54" i="107"/>
  <c r="G26" i="10" s="1"/>
  <c r="K26" i="10" s="1"/>
  <c r="H50" i="107"/>
  <c r="G22" i="10" s="1"/>
  <c r="K22" i="10" s="1"/>
  <c r="H46" i="107"/>
  <c r="G18" i="10" s="1"/>
  <c r="K18" i="10" s="1"/>
  <c r="H49" i="107"/>
  <c r="G21" i="10" s="1"/>
  <c r="K21" i="10" s="1"/>
  <c r="H57" i="107"/>
  <c r="G29" i="10" s="1"/>
  <c r="K29" i="10" s="1"/>
  <c r="H56" i="107"/>
  <c r="G28" i="10" s="1"/>
  <c r="K28" i="10" s="1"/>
  <c r="H52" i="107"/>
  <c r="H48" i="107"/>
  <c r="G20" i="10" s="1"/>
  <c r="K20" i="10" s="1"/>
  <c r="H44" i="107"/>
  <c r="G16" i="10" s="1"/>
  <c r="K16" i="10" s="1"/>
  <c r="H63" i="107" l="1"/>
  <c r="G24" i="10"/>
  <c r="K24" i="10" s="1"/>
  <c r="O20" i="10" s="1"/>
  <c r="H71" i="107"/>
  <c r="H66" i="107" s="1"/>
  <c r="H67" i="107" l="1"/>
  <c r="H68" i="107"/>
  <c r="O27" i="10"/>
  <c r="O16" i="10"/>
  <c r="O19" i="10"/>
  <c r="O31" i="10"/>
  <c r="O26" i="10"/>
  <c r="O25" i="10"/>
  <c r="O29" i="10"/>
  <c r="O18" i="10"/>
  <c r="O23" i="10"/>
  <c r="O24" i="10"/>
  <c r="O22" i="10"/>
  <c r="O28" i="10"/>
  <c r="O30" i="10"/>
  <c r="O17" i="10"/>
  <c r="O21" i="10"/>
  <c r="Q16" i="10" l="1"/>
  <c r="Q17" i="10"/>
  <c r="R17" i="10" s="1"/>
  <c r="Q18" i="10"/>
  <c r="S18" i="10" s="1"/>
  <c r="Q24" i="10"/>
  <c r="R24" i="10" s="1"/>
  <c r="Q26" i="10"/>
  <c r="R26" i="10" s="1"/>
  <c r="Q19" i="10"/>
  <c r="S19" i="10" s="1"/>
  <c r="Q30" i="10"/>
  <c r="R30" i="10" s="1"/>
  <c r="Q29" i="10"/>
  <c r="R29" i="10" s="1"/>
  <c r="Q25" i="10"/>
  <c r="S25" i="10" s="1"/>
  <c r="Q20" i="10"/>
  <c r="R20" i="10" s="1"/>
  <c r="Q31" i="10"/>
  <c r="S31" i="10" s="1"/>
  <c r="Q27" i="10"/>
  <c r="S27" i="10" s="1"/>
  <c r="Q22" i="10"/>
  <c r="R22" i="10" s="1"/>
  <c r="Q28" i="10"/>
  <c r="R28" i="10" s="1"/>
  <c r="Q21" i="10"/>
  <c r="R21" i="10" s="1"/>
  <c r="Q23" i="10"/>
  <c r="S23" i="10" s="1"/>
  <c r="P13" i="10" l="1"/>
  <c r="S16" i="10"/>
  <c r="R16" i="10"/>
  <c r="S20" i="10"/>
  <c r="R18" i="10"/>
  <c r="S17" i="10"/>
  <c r="S29" i="10"/>
  <c r="S24" i="10"/>
  <c r="R31" i="10"/>
  <c r="R19" i="10"/>
  <c r="R25" i="10"/>
  <c r="S21" i="10"/>
  <c r="S22" i="10"/>
  <c r="R23" i="10"/>
  <c r="R27" i="10"/>
  <c r="S30" i="10"/>
  <c r="S26" i="10"/>
  <c r="S28" i="10"/>
</calcChain>
</file>

<file path=xl/sharedStrings.xml><?xml version="1.0" encoding="utf-8"?>
<sst xmlns="http://schemas.openxmlformats.org/spreadsheetml/2006/main" count="442" uniqueCount="224">
  <si>
    <t>PRESUPUESTO OFICIAL</t>
  </si>
  <si>
    <t>UNIDAD</t>
  </si>
  <si>
    <t>VR PARCIAL</t>
  </si>
  <si>
    <t>PU vs PO</t>
  </si>
  <si>
    <t xml:space="preserve"> </t>
  </si>
  <si>
    <t>PUNTAJE</t>
  </si>
  <si>
    <t>PROPONENTE</t>
  </si>
  <si>
    <t>CANTIDAD</t>
  </si>
  <si>
    <t>NO ADMISIBLE</t>
  </si>
  <si>
    <t>ADMISIBLE</t>
  </si>
  <si>
    <t>JERARQUIA</t>
  </si>
  <si>
    <t>No.</t>
  </si>
  <si>
    <t>PROP. No.</t>
  </si>
  <si>
    <t>RECHAZO</t>
  </si>
  <si>
    <t>(%)</t>
  </si>
  <si>
    <t>&lt;0</t>
  </si>
  <si>
    <t>RESULTADO FINAL DEL PROCESO DE EVALUACIÓN</t>
  </si>
  <si>
    <t>CALIFICACIÓN OBTENIDA</t>
  </si>
  <si>
    <t>PUNTAJES OTORGADOS A LOS SIGUIENTES CRITERIOS:</t>
  </si>
  <si>
    <t>TOTALES</t>
  </si>
  <si>
    <t>DEPENDENCIAS</t>
  </si>
  <si>
    <t>ID</t>
  </si>
  <si>
    <t>CUADRO No. 1</t>
  </si>
  <si>
    <t>CUADRO No. 3</t>
  </si>
  <si>
    <t>DETERMINACIÓN DEL PUNTAJE POR VALOR DE LA PROPUESTA</t>
  </si>
  <si>
    <t>PROPUESTA ECONÓMICA</t>
  </si>
  <si>
    <t>($)</t>
  </si>
  <si>
    <t>PORCENTAJE DE MEJORA</t>
  </si>
  <si>
    <t>RESULTADO</t>
  </si>
  <si>
    <t>CUADRO No. 4</t>
  </si>
  <si>
    <t>PROPUESTA NUMERO</t>
  </si>
  <si>
    <t>RESÚMEN DE LA PONDERACIÓN OTORGADA</t>
  </si>
  <si>
    <t>Precio</t>
  </si>
  <si>
    <t>PUNTAJE DEFINITIVO</t>
  </si>
  <si>
    <t>CIFRA DE AJUSTE</t>
  </si>
  <si>
    <t>CUADRO No. 5</t>
  </si>
  <si>
    <t>ORDEN DE ELEGIBILIDAD</t>
  </si>
  <si>
    <t>CONSECUTIVO</t>
  </si>
  <si>
    <t>NOTAS ACLARATORIAS PARA RECHAZO DE LA PROPUESTA ECONÓMICA</t>
  </si>
  <si>
    <t>TOTAL</t>
  </si>
  <si>
    <t>VR PARCIAL
(1)</t>
  </si>
  <si>
    <t>Determinación del Método para la Ponderación de la Propuesta Económica</t>
  </si>
  <si>
    <t xml:space="preserve">Valor = </t>
  </si>
  <si>
    <t>CENTESIMAS =</t>
  </si>
  <si>
    <t>Parámetros para la ponderación de la propuesta económica</t>
  </si>
  <si>
    <t>Número de propuestas válidas</t>
  </si>
  <si>
    <t>Puntaje propuesta Económica</t>
  </si>
  <si>
    <t>Media artimética (X)</t>
  </si>
  <si>
    <r>
      <t>Media artimética alta (X</t>
    </r>
    <r>
      <rPr>
        <b/>
        <sz val="6"/>
        <rFont val="Arial"/>
        <family val="2"/>
      </rPr>
      <t>A</t>
    </r>
    <r>
      <rPr>
        <b/>
        <sz val="8"/>
        <rFont val="Arial"/>
        <family val="2"/>
      </rPr>
      <t>)</t>
    </r>
  </si>
  <si>
    <t>Mínimo</t>
  </si>
  <si>
    <t>Máximo</t>
  </si>
  <si>
    <t>CON RESPECTO A M1</t>
  </si>
  <si>
    <t>CON RESPECTO A M2</t>
  </si>
  <si>
    <t>CON RESPECTO A M3</t>
  </si>
  <si>
    <t>CON RESPECTO A M4</t>
  </si>
  <si>
    <t>CON RESPECTO A PO</t>
  </si>
  <si>
    <t>Media Aritmética =X</t>
  </si>
  <si>
    <t>Mediana= Me</t>
  </si>
  <si>
    <t>Desviación estándar =S</t>
  </si>
  <si>
    <t>Presupuesto Oficial</t>
  </si>
  <si>
    <t>1. Media Aritmética</t>
  </si>
  <si>
    <t>2. Media Aritmética Alta</t>
  </si>
  <si>
    <t>Estadistico usado para ponderar :</t>
  </si>
  <si>
    <t>(Puntos)</t>
  </si>
  <si>
    <t>PONDERACIÓN</t>
  </si>
  <si>
    <t>Estado de la Ponderación</t>
  </si>
  <si>
    <t>Indicador</t>
  </si>
  <si>
    <t>Cantidad</t>
  </si>
  <si>
    <t>Número total de propuestas descartadas</t>
  </si>
  <si>
    <t>Número de propuestas superiores al estadistico de ponderación</t>
  </si>
  <si>
    <t>Número de propuestas inferiores o iguales al estadistico de ponderación</t>
  </si>
  <si>
    <t>Descuento de la propuesta con mayor ponderación</t>
  </si>
  <si>
    <t>Propuesta con mayor ponderación</t>
  </si>
  <si>
    <t>Número propuesta con mayor ponderación</t>
  </si>
  <si>
    <t>Apoyo a la industria nacional</t>
  </si>
  <si>
    <t>MÉTODO DE PONDERACIÓN =</t>
  </si>
  <si>
    <r>
      <t>Producto (1x10</t>
    </r>
    <r>
      <rPr>
        <b/>
        <vertAlign val="superscript"/>
        <sz val="9"/>
        <rFont val="Arial"/>
        <family val="2"/>
      </rPr>
      <t>9</t>
    </r>
    <r>
      <rPr>
        <b/>
        <sz val="10"/>
        <rFont val="Arial"/>
        <family val="2"/>
      </rPr>
      <t>)</t>
    </r>
  </si>
  <si>
    <r>
      <t>Po</t>
    </r>
    <r>
      <rPr>
        <b/>
        <vertAlign val="superscript"/>
        <sz val="9"/>
        <rFont val="Arial"/>
        <family val="2"/>
      </rPr>
      <t>nv</t>
    </r>
    <r>
      <rPr>
        <b/>
        <sz val="9"/>
        <rFont val="Arial"/>
        <family val="2"/>
      </rPr>
      <t>(1x10</t>
    </r>
    <r>
      <rPr>
        <b/>
        <vertAlign val="superscript"/>
        <sz val="9"/>
        <rFont val="Arial"/>
        <family val="2"/>
      </rPr>
      <t>9</t>
    </r>
    <r>
      <rPr>
        <b/>
        <sz val="9"/>
        <rFont val="Arial"/>
        <family val="2"/>
      </rPr>
      <t>)</t>
    </r>
  </si>
  <si>
    <t>Número de veces que se debe incluir el PO = nv</t>
  </si>
  <si>
    <r>
      <t>($1x10</t>
    </r>
    <r>
      <rPr>
        <b/>
        <vertAlign val="superscript"/>
        <sz val="11"/>
        <rFont val="Arial"/>
        <family val="2"/>
      </rPr>
      <t>9</t>
    </r>
    <r>
      <rPr>
        <b/>
        <sz val="11"/>
        <rFont val="Arial"/>
        <family val="2"/>
      </rPr>
      <t>)</t>
    </r>
  </si>
  <si>
    <t>PROPONENTE NÚMERO</t>
  </si>
  <si>
    <t>NOMBRE PROPONENTE</t>
  </si>
  <si>
    <t>Número Propuesta</t>
  </si>
  <si>
    <t>Orden</t>
  </si>
  <si>
    <t>NOTAS ACLARATORIAS DE LA PROPUESTA ECONÓMICA</t>
  </si>
  <si>
    <t>CUADRO No. 2 - VERIFICACIÓN DE LAS PROPUESTAS ECONÓNICAS</t>
  </si>
  <si>
    <t>Último Método Utilizado</t>
  </si>
  <si>
    <t>MÉTODOS DE EVALUACIÓN</t>
  </si>
  <si>
    <t>MEDIA ARITMÉTICA</t>
  </si>
  <si>
    <t>MEDIA ARITMÉTICA ALTA</t>
  </si>
  <si>
    <t>NO APLICA</t>
  </si>
  <si>
    <t>TRM DEL DÍA DE LA INSTALACIÓN DE LA AUDIENCIA DE ASIGNACIÓN DE PUNTAJE</t>
  </si>
  <si>
    <t>NO MODIFICAR</t>
  </si>
  <si>
    <t>ADMINISTRACIÓN</t>
  </si>
  <si>
    <t>IMPREVISTOS</t>
  </si>
  <si>
    <t>UTILIDAD</t>
  </si>
  <si>
    <t>900.2</t>
  </si>
  <si>
    <t>630.4</t>
  </si>
  <si>
    <t>DESCRIPCIÓN</t>
  </si>
  <si>
    <t>210.2.2</t>
  </si>
  <si>
    <t>610.1</t>
  </si>
  <si>
    <t>630.6</t>
  </si>
  <si>
    <t>640.1</t>
  </si>
  <si>
    <t>673.2</t>
  </si>
  <si>
    <t>710.1</t>
  </si>
  <si>
    <t>m3</t>
  </si>
  <si>
    <t>m2</t>
  </si>
  <si>
    <t>kg</t>
  </si>
  <si>
    <t>m3-km</t>
  </si>
  <si>
    <t>FIDUPREVISORA</t>
  </si>
  <si>
    <t>PATRIMONIO AUTÓNOMO FIDEICOMISO ECOPETROL ZOMAC (en adelante PATRIMONIO AUTÓNOMO) FIDUCIARIA LA PREVISORA S.A.</t>
  </si>
  <si>
    <t>LICITACIÓN PRIVADA ABIERTA N° 007 DE 2018</t>
  </si>
  <si>
    <t>PROYECTO No. 1: MEJORAMIENTO DE VÍA MEDIANTE LA PAVIMENTACIÓN DE LA VÍA SAN PEDRO - ARIZONA, SEGUNDA ETAPA ABSC K3+743 A K6+543 Y DE K25+427 HASTA K27+927, MUNICIPIO DE PUERTO CAICEDO, DEPARTAMENTO DE PUTUMAYO VINCULADOS AL CONTRIBUYENTE ECOPETROL S.A. DENTRO DEL MARCO DEL MECANISMO DE OBRAS POR IMPUESTOS</t>
  </si>
  <si>
    <t>ÍTEM DE PAGO</t>
  </si>
  <si>
    <t>VALOR UNITARIO</t>
  </si>
  <si>
    <t>310.1</t>
  </si>
  <si>
    <t>320.2</t>
  </si>
  <si>
    <t>330.2</t>
  </si>
  <si>
    <t>420.2</t>
  </si>
  <si>
    <t>440.2P</t>
  </si>
  <si>
    <t>432.1</t>
  </si>
  <si>
    <t>600.2.1</t>
  </si>
  <si>
    <t>600.2.3P</t>
  </si>
  <si>
    <t>610.2</t>
  </si>
  <si>
    <t>610.3</t>
  </si>
  <si>
    <t>661.1</t>
  </si>
  <si>
    <t>671.2</t>
  </si>
  <si>
    <t>673.1.2</t>
  </si>
  <si>
    <t>681.1</t>
  </si>
  <si>
    <t>10p</t>
  </si>
  <si>
    <t>700.1</t>
  </si>
  <si>
    <t>900.1</t>
  </si>
  <si>
    <t>900.3P</t>
  </si>
  <si>
    <t>900.4P</t>
  </si>
  <si>
    <t>I. PRELIMINARES</t>
  </si>
  <si>
    <t>II. SUBBASES, BASES Y AFIRMADOS</t>
  </si>
  <si>
    <t>III. ASFALTOS</t>
  </si>
  <si>
    <t>IV. ESTRUCTURAS Y DRENAJES</t>
  </si>
  <si>
    <t>V. SEÑALIZACIÓN Y SEGURIDAD</t>
  </si>
  <si>
    <t>VI. TRANSPORTES</t>
  </si>
  <si>
    <t>Excavación en material común de la explanación y canales</t>
  </si>
  <si>
    <t>Conformación y Compactación de Subrasante y/o Calzada Existente</t>
  </si>
  <si>
    <t>Sub-base Granular Clase B</t>
  </si>
  <si>
    <t>Base Granular Clase B</t>
  </si>
  <si>
    <t>Riego de imprimación con emulsión asfáltica</t>
  </si>
  <si>
    <t xml:space="preserve">Mezcla densa en frío tipo MDF‐25 con Emulsión Asfáltica </t>
  </si>
  <si>
    <t>Sello de Arena-Asfalto con emulsión CRR-2</t>
  </si>
  <si>
    <t>Excavación en Conglomerado a Máquina, incluye retiro de sobrantes (Distancia de Acarreo: 5 Km)</t>
  </si>
  <si>
    <t>Excavaciones Varias en Material Común en Seco a mano</t>
  </si>
  <si>
    <t>Relleno para Estructuras con suelo</t>
  </si>
  <si>
    <t>Relleno para Estructuras (Cunetas) con recebo</t>
  </si>
  <si>
    <t>Relleno Compacto  con material granular tipo SBG</t>
  </si>
  <si>
    <t>Concreto Clase D (210 kg/cm2 ó 3000 PSI)</t>
  </si>
  <si>
    <t>Pompeyano en concreto de 28 Mpa</t>
  </si>
  <si>
    <t>Concreto Clase F (140 kg/cm2 ó 2000 psi) para pocetas, cabezotes y aletas de alcantarilla 36"</t>
  </si>
  <si>
    <t>Acero de Refuerzo</t>
  </si>
  <si>
    <t>Tubería en Concreto Reforzado D=36" U.C</t>
  </si>
  <si>
    <t>ml</t>
  </si>
  <si>
    <t>Cuneta de piezas prefabricadas de concreto; no incluye la conformación de la superficie de apoyo.</t>
  </si>
  <si>
    <t>Geotextil Tipo NT 2400</t>
  </si>
  <si>
    <t>Material Granular Drenante</t>
  </si>
  <si>
    <t>Gaviones de malla de alambre de acero entrelazado con recubrimiento de zinc (galvanizado)</t>
  </si>
  <si>
    <t>Limpieza de los encole y descole de los drenajes</t>
  </si>
  <si>
    <t>Suministro y aplicación de pintura en frío acrílica pura base agua para líneas de demarcación de pavimentos 0.12 m (e=15 mils)</t>
  </si>
  <si>
    <t>Suministro e instalación de señales verticales SP, SR y SI de 75 cm x 75 cm</t>
  </si>
  <si>
    <t>und</t>
  </si>
  <si>
    <t>Transporte de materiales provenientes de la excavación de la explanación, canales y préstamos, entre cien metros (100 m) y mil metros (1000 m) de distancia</t>
  </si>
  <si>
    <t>m3-E</t>
  </si>
  <si>
    <t>Transporte de materiales provenientes de la excavación de la explanación, canales y préstamos para distancias mayores de mil metros (1000 m), medido a partir de cien metros (100 m)</t>
  </si>
  <si>
    <t>Retiro Sobrantes Máquina &lt;= 10 Km</t>
  </si>
  <si>
    <t>Transporte de Emulsión Asfáltica</t>
  </si>
  <si>
    <t>Galón</t>
  </si>
  <si>
    <t>SUBTOTAL OBRAS (SIN AIU)</t>
  </si>
  <si>
    <t>TOTAL AIU</t>
  </si>
  <si>
    <t>IVA SOBRE LA UTILIDAD</t>
  </si>
  <si>
    <t>GRAN TOTAL DE LA VÍA CON AIU (SIN IVA)</t>
  </si>
  <si>
    <t>GRAN TOTAL DE LA VÍA CON AIU E IVA</t>
  </si>
  <si>
    <t>REVISIÓN Y/O AJUSTE Y/O ACTUALIZACIÓN Y/O MODIFICACIÓN Y/O COMPLEMENTACIÓN Y/O ELABORACION DE ESTUDIOS Y DISEÑOS PARA CONSTRUCCIÓN DE CARRETERAS INCLUIDO IVA</t>
  </si>
  <si>
    <t>OBRAS AMBIENTALES DEL PAGA Y GESTIÓN SOCIAL E INMOBILIARIA Y PMT INCLUIDO IVA</t>
  </si>
  <si>
    <t>PRESUPUESTO TOTAL</t>
  </si>
  <si>
    <t>No. de Proyectos del Proceso</t>
  </si>
  <si>
    <t>VALOR PROPUESTA ECONÓMICA CORREGIDA</t>
  </si>
  <si>
    <t>VALOR PROPUESTA ECONÓMICA</t>
  </si>
  <si>
    <t>CONSORCIO NUEVAS VIAS 2018</t>
  </si>
  <si>
    <t>UNION TEMPORAL ZRE PUERTO CAICEDO</t>
  </si>
  <si>
    <t>TRAINING TRABAJOS DE INGENIERIA SAS</t>
  </si>
  <si>
    <t>CONSORCIO ALIANZA</t>
  </si>
  <si>
    <t>CONSORCIO ARIZONA</t>
  </si>
  <si>
    <t>CONSORCIO PROYECTO 1</t>
  </si>
  <si>
    <t>CONSORCIO VIAS NACIONALES 007</t>
  </si>
  <si>
    <t>KMC SAS</t>
  </si>
  <si>
    <t>UNION TEMPORAL MDF</t>
  </si>
  <si>
    <t>CONSORCIO PAVIMENTOS 2018</t>
  </si>
  <si>
    <t>CONSORCIO SAN PEDRO PG</t>
  </si>
  <si>
    <t>CONSORCIO MANZANARES</t>
  </si>
  <si>
    <t>CONSORCIO OBRAS MI</t>
  </si>
  <si>
    <t>CONSORCIO VIAL PUTUMAYO</t>
  </si>
  <si>
    <t>UNION TEMPORAL PAVIMENTOS ARIZONA</t>
  </si>
  <si>
    <t>OBRAS CIVILES Y EQUIPOS SAS – OCIEQUIPOS SAS</t>
  </si>
  <si>
    <t>MEDIA GEOMÉTRICA CON PRESUPUESTO ESTIMADO</t>
  </si>
  <si>
    <t>3. Media Geométrica con presupuesto estimado</t>
  </si>
  <si>
    <t>Media geométrica con presupuesto estimado aproximado a números enteros = Mgpo</t>
  </si>
  <si>
    <t>CORRECCIÓN ARITMÉTICA.</t>
  </si>
  <si>
    <t>CORRECCIÓN ARITMÉTICA SOBRE EL IVA</t>
  </si>
  <si>
    <t>CORRECCIÓN ARITMÉTICA SOBRE SUBTOTALES DE LOS ÍTEMS</t>
  </si>
  <si>
    <t>CORRECCIÓN ARITMÉTICA SOBRE SUBTOTAL DE ÍTEM</t>
  </si>
  <si>
    <t>OBSERVACIONES A LA CALIFICACIÓN DEFINITIVA RESUMEN EVALUACION PROYECTO 1</t>
  </si>
  <si>
    <t>NUMERO DE PROPONENTE</t>
  </si>
  <si>
    <t>NOMBRE DEL PROPONENTE</t>
  </si>
  <si>
    <t>CALIFICACION</t>
  </si>
  <si>
    <t>JURIDICA</t>
  </si>
  <si>
    <t>FINANCIERA</t>
  </si>
  <si>
    <t>TECNICA</t>
  </si>
  <si>
    <t>CALIFICACION DEFINITIVA</t>
  </si>
  <si>
    <t xml:space="preserve"> CUMPLE </t>
  </si>
  <si>
    <t xml:space="preserve"> RECHAZADO </t>
  </si>
  <si>
    <t xml:space="preserve">CUMPLE </t>
  </si>
  <si>
    <t xml:space="preserve"> RECHAZO </t>
  </si>
  <si>
    <t xml:space="preserve"> NO CUMPLE </t>
  </si>
  <si>
    <t xml:space="preserve"> CUMPLE</t>
  </si>
  <si>
    <t>CUMPLE </t>
  </si>
  <si>
    <t> CUMPLE</t>
  </si>
  <si>
    <t>NO SE APERTURO</t>
  </si>
  <si>
    <t>EVALUACION ECONOMICA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</si>
</sst>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41" formatCode="_(* #,##0_);_(* \(#,##0\);_(* &quot;-&quot;_);_(@_)"/>
    <numFmt numFmtId="44" formatCode="_(&quot;$&quot;\ * #,##0.00_);_(&quot;$&quot;\ * \(#,##0.00\);_(&quot;$&quot;\ * &quot;-&quot;??_);_(@_)"/>
    <numFmt numFmtId="43" formatCode="_(* #,##0.00_);_(* \(#,##0.00\);_(* &quot;-&quot;??_);_(@_)"/>
    <numFmt numFmtId="164" formatCode="_(&quot;$&quot;* #,##0.00_);_(&quot;$&quot;* \(#,##0.00\);_(&quot;$&quot;* &quot;-&quot;??_);_(@_)"/>
    <numFmt numFmtId="165" formatCode="_-* #,##0.00\ &quot;Pts&quot;_-;\-* #,##0.00\ &quot;Pts&quot;_-;_-* &quot;-&quot;??\ &quot;Pts&quot;_-;_-@_-"/>
    <numFmt numFmtId="166" formatCode="_-* #,##0.00\ _P_t_s_-;\-* #,##0.00\ _P_t_s_-;_-* &quot;-&quot;??\ _P_t_s_-;_-@_-"/>
    <numFmt numFmtId="167" formatCode="#,##0.0"/>
    <numFmt numFmtId="168" formatCode="#,##0.00;[Red]#,##0.00"/>
    <numFmt numFmtId="169" formatCode="&quot;VALOR PARA EL CONTRATO=$&quot;\ #,##0.00"/>
    <numFmt numFmtId="170" formatCode="#,##0&quot;º&quot;"/>
    <numFmt numFmtId="171" formatCode="0.0000000"/>
    <numFmt numFmtId="172" formatCode="_ [$€-2]\ * #,##0.00_ ;_ [$€-2]\ * \-#,##0.00_ ;_ [$€-2]\ * &quot;-&quot;??_ "/>
    <numFmt numFmtId="173" formatCode="_(* #,##0_);_(* \(#,##0\);_(* &quot;-&quot;??_);_(@_)"/>
    <numFmt numFmtId="174" formatCode="0.0000E+00"/>
    <numFmt numFmtId="175" formatCode="_([$$-240A]\ * #,##0.00_);_([$$-240A]\ * \(#,##0.00\);_([$$-240A]\ * &quot;-&quot;??_);_(@_)"/>
    <numFmt numFmtId="176" formatCode="0.000000000000000E+00"/>
    <numFmt numFmtId="177" formatCode="_-* #,##0\ _P_t_s_-;\-* #,##0\ _P_t_s_-;_-* &quot;-&quot;??\ _P_t_s_-;_-@_-"/>
    <numFmt numFmtId="178" formatCode="0.0000000000000"/>
    <numFmt numFmtId="179" formatCode="0.000000000000E+00"/>
    <numFmt numFmtId="180" formatCode="0.000E+00"/>
    <numFmt numFmtId="181" formatCode="##0"/>
    <numFmt numFmtId="182" formatCode="0.000"/>
    <numFmt numFmtId="183" formatCode="0.0000"/>
    <numFmt numFmtId="184" formatCode="0.00%;\-0.00%;&quot;&quot;"/>
    <numFmt numFmtId="185" formatCode="&quot;$&quot;#,##0\ ;\(&quot;$&quot;#,##0\)"/>
    <numFmt numFmtId="186" formatCode="\(0%\)"/>
    <numFmt numFmtId="187" formatCode="d\ \d\e\ mmmm\ \d\e\ yyyy"/>
    <numFmt numFmtId="188" formatCode="000\°00&quot;´&quot;00&quot;´´&quot;"/>
    <numFmt numFmtId="189" formatCode="0%;\-0%;&quot;&quot;"/>
    <numFmt numFmtId="190" formatCode="#0&quot;.&quot;000&quot;´&quot;000&quot;.&quot;000"/>
    <numFmt numFmtId="191" formatCode="##0&quot;.&quot;000"/>
    <numFmt numFmtId="192" formatCode="&quot;$&quot;\ #,##0.00"/>
    <numFmt numFmtId="193" formatCode="#,##0.0000"/>
    <numFmt numFmtId="194" formatCode="_-* #,##0.00\ _€_-;\-* #,##0.00\ _€_-;_-* &quot;-&quot;??\ _€_-;_-@_-"/>
    <numFmt numFmtId="195" formatCode="_-* #,##0.00\ _P_t_a_-;\-* #,##0.00\ _P_t_a_-;_-* &quot;-&quot;??\ _P_t_a_-;_-@_-"/>
    <numFmt numFmtId="196" formatCode="_ * #,##0.00_ ;_ * \-#,##0.00_ ;_ * &quot;-&quot;??_ ;_ @_ "/>
    <numFmt numFmtId="197" formatCode="##0&quot;´&quot;000&quot;.&quot;000"/>
    <numFmt numFmtId="198" formatCode="[$$-240A]\ #,##0.00"/>
    <numFmt numFmtId="199" formatCode="_ &quot;$&quot;* #,##0.00_ ;_ &quot;$&quot;* \-#,##0.00_ ;_ &quot;$&quot;* &quot;-&quot;??_ ;_ @_ "/>
    <numFmt numFmtId="200" formatCode="#.##\ \K\g"/>
    <numFmt numFmtId="201" formatCode="_(* #,##0.0_);_(* \(#,##0.0\);_(* &quot;-&quot;??_);_(@_)"/>
    <numFmt numFmtId="202" formatCode="#0&quot;.&quot;"/>
    <numFmt numFmtId="203" formatCode="0.0%;\-0.0%;&quot;&quot;"/>
    <numFmt numFmtId="204" formatCode="_([$€]* #,##0.00_);_([$€]* \(#,##0.00\);_([$€]* &quot;-&quot;??_);_(@_)"/>
    <numFmt numFmtId="205" formatCode="&quot;$&quot;\ #,##0.00;&quot;$&quot;\ \-#,##0.00"/>
    <numFmt numFmtId="206" formatCode="0\+000"/>
    <numFmt numFmtId="207" formatCode="#,##0.0000000"/>
    <numFmt numFmtId="208" formatCode="0.0000%"/>
    <numFmt numFmtId="209" formatCode="0.000000000000000"/>
    <numFmt numFmtId="210" formatCode="0.000%"/>
  </numFmts>
  <fonts count="68"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sz val="10"/>
      <name val="Arial"/>
      <family val="2"/>
    </font>
    <font>
      <b/>
      <sz val="9"/>
      <name val="Arial"/>
      <family val="2"/>
    </font>
    <font>
      <b/>
      <sz val="8"/>
      <name val="Arial"/>
      <family val="2"/>
    </font>
    <font>
      <sz val="8"/>
      <name val="Arial"/>
      <family val="2"/>
    </font>
    <font>
      <sz val="10"/>
      <name val="Arial"/>
      <family val="2"/>
    </font>
    <font>
      <i/>
      <sz val="8"/>
      <name val="Arial"/>
      <family val="2"/>
    </font>
    <font>
      <sz val="11"/>
      <name val="Arial"/>
      <family val="2"/>
    </font>
    <font>
      <b/>
      <sz val="7"/>
      <name val="Arial"/>
      <family val="2"/>
    </font>
    <font>
      <sz val="7"/>
      <name val="Arial"/>
      <family val="2"/>
    </font>
    <font>
      <b/>
      <sz val="11"/>
      <name val="Arial"/>
      <family val="2"/>
    </font>
    <font>
      <b/>
      <sz val="12"/>
      <name val="Times New Roman"/>
      <family val="1"/>
    </font>
    <font>
      <b/>
      <sz val="16"/>
      <name val="Times New Roman"/>
      <family val="1"/>
    </font>
    <font>
      <sz val="12"/>
      <name val="Times New Roman"/>
      <family val="1"/>
    </font>
    <font>
      <sz val="14"/>
      <name val="Arial"/>
      <family val="2"/>
    </font>
    <font>
      <b/>
      <sz val="14"/>
      <name val="Times New Roman"/>
      <family val="1"/>
    </font>
    <font>
      <sz val="22"/>
      <name val="Arial"/>
      <family val="2"/>
    </font>
    <font>
      <b/>
      <sz val="14"/>
      <color indexed="10"/>
      <name val="Times New Roman"/>
      <family val="1"/>
    </font>
    <font>
      <sz val="10"/>
      <color indexed="8"/>
      <name val="Arial"/>
      <family val="2"/>
    </font>
    <font>
      <b/>
      <sz val="8"/>
      <color indexed="12"/>
      <name val="Arial"/>
      <family val="2"/>
    </font>
    <font>
      <b/>
      <i/>
      <sz val="10"/>
      <name val="Arial"/>
      <family val="2"/>
    </font>
    <font>
      <b/>
      <sz val="16"/>
      <name val="Arial"/>
      <family val="2"/>
    </font>
    <font>
      <b/>
      <sz val="6"/>
      <name val="Arial"/>
      <family val="2"/>
    </font>
    <font>
      <b/>
      <vertAlign val="superscript"/>
      <sz val="9"/>
      <name val="Arial"/>
      <family val="2"/>
    </font>
    <font>
      <sz val="11"/>
      <color theme="1"/>
      <name val="Calibri"/>
      <family val="2"/>
      <scheme val="minor"/>
    </font>
    <font>
      <b/>
      <sz val="11"/>
      <color theme="1"/>
      <name val="Calibri"/>
      <family val="2"/>
      <scheme val="minor"/>
    </font>
    <font>
      <b/>
      <vertAlign val="superscript"/>
      <sz val="11"/>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Modern"/>
      <family val="3"/>
      <charset val="255"/>
    </font>
    <font>
      <sz val="10"/>
      <name val="Helv"/>
    </font>
    <font>
      <b/>
      <sz val="11"/>
      <color indexed="8"/>
      <name val="Calibri"/>
      <family val="2"/>
    </font>
    <font>
      <i/>
      <sz val="11"/>
      <color indexed="23"/>
      <name val="Calibri"/>
      <family val="2"/>
    </font>
    <font>
      <sz val="1"/>
      <color indexed="8"/>
      <name val="Courier"/>
      <family val="3"/>
    </font>
    <font>
      <i/>
      <sz val="1"/>
      <color indexed="8"/>
      <name val="Courier"/>
      <family val="3"/>
    </font>
    <font>
      <sz val="11"/>
      <color indexed="17"/>
      <name val="Calibri"/>
      <family val="2"/>
    </font>
    <font>
      <b/>
      <sz val="10"/>
      <color indexed="24"/>
      <name val="Modern"/>
      <family val="3"/>
      <charset val="255"/>
    </font>
    <font>
      <sz val="8"/>
      <color indexed="24"/>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8"/>
      <name val="Arial"/>
      <family val="2"/>
    </font>
    <font>
      <b/>
      <sz val="11"/>
      <color indexed="63"/>
      <name val="Calibri"/>
      <family val="2"/>
    </font>
    <font>
      <b/>
      <sz val="18"/>
      <color indexed="56"/>
      <name val="Cambria"/>
      <family val="2"/>
    </font>
    <font>
      <b/>
      <sz val="18"/>
      <color indexed="62"/>
      <name val="Cambria"/>
      <family val="2"/>
    </font>
    <font>
      <sz val="11"/>
      <color indexed="10"/>
      <name val="Calibri"/>
      <family val="2"/>
    </font>
    <font>
      <b/>
      <sz val="10"/>
      <color rgb="FFFF0000"/>
      <name val="Arial"/>
      <family val="2"/>
    </font>
    <font>
      <sz val="10"/>
      <name val="Arial"/>
      <family val="2"/>
    </font>
    <font>
      <sz val="10"/>
      <color theme="0"/>
      <name val="Arial"/>
      <family val="2"/>
    </font>
    <font>
      <b/>
      <sz val="20"/>
      <name val="Arial"/>
      <family val="2"/>
    </font>
    <font>
      <b/>
      <sz val="12"/>
      <color rgb="FFFF0000"/>
      <name val="Times New Roman"/>
      <family val="1"/>
    </font>
    <font>
      <sz val="8"/>
      <color rgb="FF000000"/>
      <name val="Verdana"/>
      <family val="2"/>
    </font>
    <font>
      <b/>
      <sz val="9"/>
      <color rgb="FFFF0000"/>
      <name val="Arial"/>
      <family val="2"/>
    </font>
    <font>
      <b/>
      <sz val="8"/>
      <name val="Arial Narrow"/>
      <family val="2"/>
    </font>
    <font>
      <b/>
      <sz val="8"/>
      <color rgb="FF000000"/>
      <name val="Arial Narrow"/>
      <family val="2"/>
    </font>
    <font>
      <sz val="8"/>
      <color rgb="FF000000"/>
      <name val="Arial Narrow"/>
      <family val="2"/>
    </font>
    <font>
      <b/>
      <sz val="9"/>
      <color rgb="FFC00000"/>
      <name val="Arial"/>
      <family val="2"/>
    </font>
    <font>
      <sz val="8"/>
      <color rgb="FFC00000"/>
      <name val="Verdana"/>
      <family val="2"/>
    </font>
  </fonts>
  <fills count="50">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rgb="FFFFCC81"/>
        <bgColor indexed="64"/>
      </patternFill>
    </fill>
    <fill>
      <patternFill patternType="solid">
        <fgColor rgb="FFC0C0C0"/>
        <bgColor indexed="64"/>
      </patternFill>
    </fill>
    <fill>
      <patternFill patternType="solid">
        <fgColor rgb="FF99CCFF"/>
        <bgColor indexed="64"/>
      </patternFill>
    </fill>
    <fill>
      <patternFill patternType="solid">
        <fgColor rgb="FFFF99CC"/>
        <bgColor indexed="64"/>
      </patternFill>
    </fill>
    <fill>
      <patternFill patternType="solid">
        <fgColor rgb="FFFFCCCC"/>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B8CCE4"/>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CE4D6"/>
        <bgColor indexed="64"/>
      </patternFill>
    </fill>
  </fills>
  <borders count="127">
    <border>
      <left/>
      <right/>
      <top/>
      <bottom/>
      <diagonal/>
    </border>
    <border>
      <left style="medium">
        <color indexed="64"/>
      </left>
      <right style="medium">
        <color indexed="64"/>
      </right>
      <top style="thin">
        <color indexed="64"/>
      </top>
      <bottom style="thin">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diagonal/>
    </border>
    <border>
      <left style="thin">
        <color indexed="64"/>
      </left>
      <right style="double">
        <color indexed="64"/>
      </right>
      <top style="dotted">
        <color indexed="64"/>
      </top>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bottom style="dotted">
        <color indexed="64"/>
      </bottom>
      <diagonal/>
    </border>
    <border>
      <left style="double">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thin">
        <color indexed="64"/>
      </top>
      <bottom style="thin">
        <color indexed="64"/>
      </bottom>
      <diagonal/>
    </border>
    <border>
      <left style="medium">
        <color indexed="64"/>
      </left>
      <right style="medium">
        <color indexed="64"/>
      </right>
      <top/>
      <bottom/>
      <diagonal/>
    </border>
    <border>
      <left style="dotted">
        <color indexed="64"/>
      </left>
      <right style="dotted">
        <color indexed="64"/>
      </right>
      <top style="thin">
        <color indexed="64"/>
      </top>
      <bottom style="double">
        <color indexed="64"/>
      </bottom>
      <diagonal/>
    </border>
    <border>
      <left/>
      <right/>
      <top style="thin">
        <color indexed="64"/>
      </top>
      <bottom/>
      <diagonal/>
    </border>
    <border>
      <left/>
      <right/>
      <top style="double">
        <color indexed="64"/>
      </top>
      <bottom style="thin">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s>
  <cellStyleXfs count="229">
    <xf numFmtId="0" fontId="0" fillId="0" borderId="0"/>
    <xf numFmtId="0" fontId="23" fillId="0" borderId="0">
      <alignment vertical="top"/>
    </xf>
    <xf numFmtId="172" fontId="3" fillId="0" borderId="0" applyFont="0" applyFill="0" applyBorder="0" applyAlignment="0" applyProtection="0"/>
    <xf numFmtId="166"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10" fillId="0" borderId="0"/>
    <xf numFmtId="0" fontId="3" fillId="0" borderId="0"/>
    <xf numFmtId="0" fontId="3" fillId="0" borderId="0"/>
    <xf numFmtId="0" fontId="3"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2" fontId="3" fillId="0" borderId="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20" borderId="0" applyNumberFormat="0" applyBorder="0" applyAlignment="0" applyProtection="0"/>
    <xf numFmtId="0" fontId="34" fillId="21"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8" borderId="0" applyNumberFormat="0" applyBorder="0" applyAlignment="0" applyProtection="0"/>
    <xf numFmtId="0" fontId="35" fillId="12" borderId="0" applyNumberFormat="0" applyBorder="0" applyAlignment="0" applyProtection="0"/>
    <xf numFmtId="0" fontId="36" fillId="29" borderId="99" applyNumberFormat="0" applyAlignment="0" applyProtection="0"/>
    <xf numFmtId="0" fontId="37" fillId="30" borderId="100" applyNumberFormat="0" applyAlignment="0" applyProtection="0"/>
    <xf numFmtId="181" fontId="9" fillId="0" borderId="89">
      <alignment horizontal="right"/>
    </xf>
    <xf numFmtId="2" fontId="9" fillId="0" borderId="0"/>
    <xf numFmtId="182" fontId="9" fillId="0" borderId="0"/>
    <xf numFmtId="183" fontId="8" fillId="0" borderId="0"/>
    <xf numFmtId="181" fontId="9" fillId="0" borderId="89">
      <alignment horizontal="right"/>
    </xf>
    <xf numFmtId="177" fontId="3" fillId="0" borderId="0">
      <protection locked="0"/>
    </xf>
    <xf numFmtId="3" fontId="38" fillId="0" borderId="0" applyFont="0" applyFill="0" applyBorder="0" applyAlignment="0" applyProtection="0"/>
    <xf numFmtId="0" fontId="39" fillId="0" borderId="0"/>
    <xf numFmtId="0" fontId="39" fillId="0" borderId="0"/>
    <xf numFmtId="0" fontId="39" fillId="0" borderId="0"/>
    <xf numFmtId="184" fontId="3" fillId="0" borderId="0">
      <protection locked="0"/>
    </xf>
    <xf numFmtId="185" fontId="38" fillId="0" borderId="0" applyFont="0" applyFill="0" applyBorder="0" applyAlignment="0" applyProtection="0"/>
    <xf numFmtId="186" fontId="3" fillId="0" borderId="0">
      <protection locked="0"/>
    </xf>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4"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4" fillId="37" borderId="0" applyNumberFormat="0" applyBorder="0" applyAlignment="0" applyProtection="0"/>
    <xf numFmtId="0" fontId="33" fillId="34" borderId="0" applyNumberFormat="0" applyBorder="0" applyAlignment="0" applyProtection="0"/>
    <xf numFmtId="0" fontId="33" fillId="37" borderId="0" applyNumberFormat="0" applyBorder="0" applyAlignment="0" applyProtection="0"/>
    <xf numFmtId="0" fontId="34" fillId="37" borderId="0" applyNumberFormat="0" applyBorder="0" applyAlignment="0" applyProtection="0"/>
    <xf numFmtId="0" fontId="33" fillId="40"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41" borderId="0" applyNumberFormat="0" applyBorder="0" applyAlignment="0" applyProtection="0"/>
    <xf numFmtId="0" fontId="34" fillId="41" borderId="0" applyNumberFormat="0" applyBorder="0" applyAlignment="0" applyProtection="0"/>
    <xf numFmtId="1" fontId="3" fillId="0" borderId="0"/>
    <xf numFmtId="0" fontId="3" fillId="0" borderId="0" applyFont="0" applyFill="0" applyBorder="0" applyAlignment="0" applyProtection="0"/>
    <xf numFmtId="0" fontId="41" fillId="0" borderId="0" applyNumberFormat="0" applyFill="0" applyBorder="0" applyAlignment="0" applyProtection="0"/>
    <xf numFmtId="4" fontId="42" fillId="0" borderId="0">
      <protection locked="0"/>
    </xf>
    <xf numFmtId="4" fontId="42" fillId="0" borderId="0">
      <protection locked="0"/>
    </xf>
    <xf numFmtId="4" fontId="43" fillId="0" borderId="0">
      <protection locked="0"/>
    </xf>
    <xf numFmtId="4" fontId="42" fillId="0" borderId="0">
      <protection locked="0"/>
    </xf>
    <xf numFmtId="4" fontId="42" fillId="0" borderId="0">
      <protection locked="0"/>
    </xf>
    <xf numFmtId="4" fontId="42" fillId="0" borderId="0">
      <protection locked="0"/>
    </xf>
    <xf numFmtId="4" fontId="43" fillId="0" borderId="0">
      <protection locked="0"/>
    </xf>
    <xf numFmtId="187" fontId="3" fillId="0" borderId="0">
      <protection locked="0"/>
    </xf>
    <xf numFmtId="0" fontId="44" fillId="13" borderId="0" applyNumberFormat="0" applyBorder="0" applyAlignment="0" applyProtection="0"/>
    <xf numFmtId="188" fontId="3" fillId="0"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101" applyNumberFormat="0" applyFill="0" applyAlignment="0" applyProtection="0"/>
    <xf numFmtId="0" fontId="47" fillId="0" borderId="0" applyNumberFormat="0" applyFill="0" applyBorder="0" applyAlignment="0" applyProtection="0"/>
    <xf numFmtId="189" fontId="3" fillId="0" borderId="0">
      <protection locked="0"/>
    </xf>
    <xf numFmtId="189" fontId="3" fillId="0" borderId="0">
      <protection locked="0"/>
    </xf>
    <xf numFmtId="0" fontId="48" fillId="0" borderId="0" applyNumberFormat="0" applyFill="0" applyBorder="0" applyAlignment="0" applyProtection="0">
      <alignment vertical="top"/>
      <protection locked="0"/>
    </xf>
    <xf numFmtId="0" fontId="49" fillId="16" borderId="99" applyNumberFormat="0" applyAlignment="0" applyProtection="0"/>
    <xf numFmtId="0" fontId="50" fillId="0" borderId="102" applyNumberFormat="0" applyFill="0" applyAlignment="0" applyProtection="0"/>
    <xf numFmtId="190" fontId="9" fillId="0" borderId="0">
      <alignment horizontal="right"/>
    </xf>
    <xf numFmtId="191" fontId="9" fillId="0" borderId="0" applyFont="0" applyFill="0" applyBorder="0" applyAlignment="0">
      <alignment horizontal="center"/>
    </xf>
    <xf numFmtId="41" fontId="2" fillId="0" borderId="0" applyFont="0" applyFill="0" applyBorder="0" applyAlignment="0" applyProtection="0"/>
    <xf numFmtId="167"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3" fillId="0" borderId="0" applyFont="0" applyFill="0" applyBorder="0" applyAlignment="0" applyProtection="0"/>
    <xf numFmtId="43"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3" fillId="0" borderId="0" applyFont="0" applyFill="0" applyBorder="0" applyAlignment="0" applyProtection="0"/>
    <xf numFmtId="194"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5" fontId="3" fillId="0" borderId="0" applyFont="0" applyFill="0" applyBorder="0" applyAlignment="0" applyProtection="0"/>
    <xf numFmtId="43" fontId="3" fillId="0" borderId="0" applyFont="0" applyFill="0" applyBorder="0" applyAlignment="0" applyProtection="0"/>
    <xf numFmtId="193" fontId="3" fillId="0" borderId="0" applyFont="0" applyFill="0" applyBorder="0" applyAlignment="0" applyProtection="0"/>
    <xf numFmtId="43" fontId="3" fillId="0" borderId="0" applyFont="0" applyFill="0" applyBorder="0" applyAlignment="0" applyProtection="0"/>
    <xf numFmtId="192" fontId="3" fillId="0" borderId="0" applyFont="0" applyFill="0" applyBorder="0" applyAlignment="0" applyProtection="0"/>
    <xf numFmtId="43" fontId="3" fillId="0" borderId="0" applyFont="0" applyFill="0" applyBorder="0" applyAlignment="0" applyProtection="0"/>
    <xf numFmtId="193" fontId="3" fillId="0" borderId="0" applyFont="0" applyFill="0" applyBorder="0" applyAlignment="0" applyProtection="0"/>
    <xf numFmtId="43" fontId="3" fillId="0" borderId="0" applyFont="0" applyFill="0" applyBorder="0" applyAlignment="0" applyProtection="0"/>
    <xf numFmtId="193" fontId="3" fillId="0" borderId="0" applyFont="0" applyFill="0" applyBorder="0" applyAlignment="0" applyProtection="0"/>
    <xf numFmtId="192" fontId="3" fillId="0" borderId="0" applyFont="0" applyFill="0" applyBorder="0" applyAlignment="0" applyProtection="0"/>
    <xf numFmtId="43" fontId="2"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7" fontId="9" fillId="0" borderId="0">
      <alignment horizontal="right"/>
    </xf>
    <xf numFmtId="198" fontId="9" fillId="0" borderId="55"/>
    <xf numFmtId="199" fontId="3" fillId="0" borderId="0"/>
    <xf numFmtId="200" fontId="3" fillId="0" borderId="0" applyFont="0" applyFill="0" applyBorder="0" applyAlignment="0" applyProtection="0"/>
    <xf numFmtId="200" fontId="3" fillId="0" borderId="0" applyFont="0" applyFill="0" applyBorder="0" applyAlignment="0" applyProtection="0"/>
    <xf numFmtId="44" fontId="33" fillId="0" borderId="0" applyFont="0" applyFill="0" applyBorder="0" applyAlignment="0" applyProtection="0"/>
    <xf numFmtId="201" fontId="3" fillId="0" borderId="0" applyFont="0" applyFill="0" applyBorder="0" applyAlignment="0" applyProtection="0"/>
    <xf numFmtId="44" fontId="3" fillId="0" borderId="0" applyFont="0" applyFill="0" applyBorder="0" applyAlignment="0" applyProtection="0"/>
    <xf numFmtId="202" fontId="9" fillId="0" borderId="0" applyFont="0" applyFill="0" applyBorder="0" applyAlignment="0">
      <alignment horizont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3" fillId="0" borderId="0"/>
    <xf numFmtId="0" fontId="3" fillId="0" borderId="0"/>
    <xf numFmtId="0" fontId="33" fillId="0" borderId="0"/>
    <xf numFmtId="0" fontId="33" fillId="42" borderId="103" applyNumberFormat="0" applyFont="0" applyAlignment="0" applyProtection="0"/>
    <xf numFmtId="0" fontId="52" fillId="29" borderId="104" applyNumberFormat="0" applyAlignment="0" applyProtection="0"/>
    <xf numFmtId="0" fontId="39" fillId="0" borderId="0"/>
    <xf numFmtId="203" fontId="3" fillId="0" borderId="0">
      <protection locked="0"/>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49" fontId="6" fillId="0" borderId="0">
      <alignment horizontal="center" vertical="center"/>
    </xf>
    <xf numFmtId="0" fontId="54" fillId="0" borderId="0" applyNumberFormat="0" applyFill="0" applyBorder="0" applyAlignment="0" applyProtection="0"/>
    <xf numFmtId="0" fontId="55" fillId="0" borderId="0" applyNumberFormat="0" applyFill="0" applyBorder="0" applyAlignment="0" applyProtection="0"/>
    <xf numFmtId="44" fontId="2" fillId="0" borderId="0" applyFont="0" applyFill="0" applyBorder="0" applyAlignment="0" applyProtection="0"/>
    <xf numFmtId="204" fontId="3" fillId="0" borderId="0" applyFont="0" applyFill="0" applyBorder="0" applyAlignment="0" applyProtection="0"/>
    <xf numFmtId="43" fontId="2" fillId="0" borderId="0" applyFont="0" applyFill="0" applyBorder="0" applyAlignment="0" applyProtection="0"/>
    <xf numFmtId="41" fontId="3" fillId="0" borderId="0" applyFont="0" applyFill="0" applyBorder="0" applyAlignment="0" applyProtection="0"/>
    <xf numFmtId="43" fontId="2" fillId="0" borderId="0" applyFont="0" applyFill="0" applyBorder="0" applyAlignment="0" applyProtection="0"/>
    <xf numFmtId="196"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4" fontId="2" fillId="0" borderId="0" applyFont="0" applyFill="0" applyBorder="0" applyAlignment="0" applyProtection="0"/>
    <xf numFmtId="206" fontId="3" fillId="0" borderId="0" applyFont="0" applyFill="0" applyBorder="0" applyAlignment="0" applyProtection="0"/>
    <xf numFmtId="0" fontId="33"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205" fontId="3" fillId="0" borderId="0" applyFont="0" applyFill="0" applyBorder="0" applyAlignment="0" applyProtection="0"/>
    <xf numFmtId="0" fontId="2" fillId="0" borderId="0"/>
    <xf numFmtId="0" fontId="2" fillId="0" borderId="0"/>
    <xf numFmtId="9" fontId="57" fillId="0" borderId="0" applyFont="0" applyFill="0" applyBorder="0" applyAlignment="0" applyProtection="0"/>
  </cellStyleXfs>
  <cellXfs count="468">
    <xf numFmtId="0" fontId="0" fillId="0" borderId="0" xfId="0"/>
    <xf numFmtId="0" fontId="4" fillId="0" borderId="0" xfId="0" applyFont="1" applyAlignment="1" applyProtection="1">
      <alignment horizontal="centerContinuous" vertical="center" wrapText="1"/>
      <protection hidden="1"/>
    </xf>
    <xf numFmtId="0" fontId="10" fillId="0" borderId="0" xfId="0" applyFont="1" applyProtection="1">
      <protection hidden="1"/>
    </xf>
    <xf numFmtId="0" fontId="10" fillId="0" borderId="0" xfId="0" applyFont="1" applyAlignment="1" applyProtection="1">
      <alignment horizontal="center" vertical="center"/>
      <protection hidden="1"/>
    </xf>
    <xf numFmtId="0" fontId="5" fillId="0" borderId="0" xfId="0" applyFont="1" applyAlignment="1" applyProtection="1">
      <alignment horizontal="centerContinuous" vertical="center" wrapText="1"/>
      <protection hidden="1"/>
    </xf>
    <xf numFmtId="0" fontId="6" fillId="0" borderId="0" xfId="0" applyFont="1" applyAlignment="1" applyProtection="1">
      <alignment horizontal="centerContinuous" vertical="center" wrapText="1"/>
      <protection hidden="1"/>
    </xf>
    <xf numFmtId="0" fontId="7" fillId="0" borderId="0" xfId="0" applyFont="1" applyAlignment="1" applyProtection="1">
      <alignment horizontal="centerContinuous" vertical="center" wrapText="1"/>
      <protection hidden="1"/>
    </xf>
    <xf numFmtId="0" fontId="10" fillId="0" borderId="0" xfId="0" applyFont="1" applyAlignment="1" applyProtection="1">
      <alignment horizontal="centerContinuous" vertical="center" wrapText="1"/>
      <protection hidden="1"/>
    </xf>
    <xf numFmtId="0" fontId="10" fillId="0" borderId="0" xfId="0" applyFont="1" applyAlignment="1" applyProtection="1">
      <protection hidden="1"/>
    </xf>
    <xf numFmtId="0" fontId="4" fillId="0" borderId="0" xfId="0" applyFont="1" applyAlignment="1" applyProtection="1">
      <alignment horizontal="left"/>
      <protection hidden="1"/>
    </xf>
    <xf numFmtId="0" fontId="10" fillId="0" borderId="0" xfId="0" applyFont="1" applyAlignment="1" applyProtection="1">
      <alignment horizontal="left" vertical="center"/>
      <protection hidden="1"/>
    </xf>
    <xf numFmtId="0" fontId="10" fillId="0" borderId="0" xfId="0" applyFont="1" applyFill="1" applyProtection="1">
      <protection hidden="1"/>
    </xf>
    <xf numFmtId="0" fontId="9" fillId="0" borderId="0" xfId="0" applyFont="1" applyProtection="1">
      <protection hidden="1"/>
    </xf>
    <xf numFmtId="0" fontId="17" fillId="0" borderId="0" xfId="0" applyFont="1" applyFill="1" applyAlignment="1" applyProtection="1">
      <alignment horizontal="centerContinuous" vertical="center" wrapText="1"/>
      <protection hidden="1"/>
    </xf>
    <xf numFmtId="0" fontId="13" fillId="0" borderId="0" xfId="0" applyFont="1" applyFill="1" applyAlignment="1" applyProtection="1">
      <alignment horizontal="centerContinuous" vertical="center" wrapText="1"/>
      <protection hidden="1"/>
    </xf>
    <xf numFmtId="0" fontId="14" fillId="0" borderId="0" xfId="0" applyFont="1" applyFill="1" applyProtection="1">
      <protection hidden="1"/>
    </xf>
    <xf numFmtId="0" fontId="9" fillId="0" borderId="0" xfId="0" applyFont="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Fill="1" applyAlignment="1" applyProtection="1">
      <protection hidden="1"/>
    </xf>
    <xf numFmtId="0" fontId="18"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wrapText="1"/>
      <protection hidden="1"/>
    </xf>
    <xf numFmtId="0" fontId="10" fillId="0" borderId="0" xfId="0" applyFont="1" applyFill="1" applyAlignment="1" applyProtection="1">
      <alignment horizontal="center"/>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protection hidden="1"/>
    </xf>
    <xf numFmtId="0" fontId="9" fillId="0" borderId="0" xfId="0" applyFont="1" applyFill="1" applyBorder="1" applyAlignment="1" applyProtection="1">
      <alignment horizontal="center"/>
      <protection hidden="1"/>
    </xf>
    <xf numFmtId="0" fontId="9" fillId="0" borderId="0" xfId="0" quotePrefix="1" applyFont="1" applyFill="1" applyBorder="1" applyAlignment="1" applyProtection="1">
      <alignment horizontal="center" vertical="center"/>
      <protection hidden="1"/>
    </xf>
    <xf numFmtId="0" fontId="9" fillId="0" borderId="0" xfId="0" applyFont="1" applyFill="1" applyBorder="1" applyAlignment="1" applyProtection="1">
      <alignment horizontal="centerContinuous" vertical="center"/>
      <protection hidden="1"/>
    </xf>
    <xf numFmtId="0" fontId="4" fillId="0" borderId="0" xfId="0" applyFont="1" applyFill="1" applyAlignment="1" applyProtection="1">
      <alignment horizontal="centerContinuous" vertical="center"/>
      <protection hidden="1"/>
    </xf>
    <xf numFmtId="0" fontId="9" fillId="0" borderId="0" xfId="0" applyFont="1" applyFill="1" applyProtection="1">
      <protection hidden="1"/>
    </xf>
    <xf numFmtId="0" fontId="10" fillId="0" borderId="0" xfId="0" applyFont="1" applyFill="1" applyAlignment="1" applyProtection="1">
      <alignment horizontal="left" vertical="center"/>
      <protection hidden="1"/>
    </xf>
    <xf numFmtId="1" fontId="20" fillId="0" borderId="0" xfId="0" applyNumberFormat="1" applyFont="1" applyFill="1" applyAlignment="1" applyProtection="1">
      <alignment horizontal="centerContinuous" vertical="center" wrapText="1"/>
      <protection hidden="1"/>
    </xf>
    <xf numFmtId="1" fontId="22" fillId="0" borderId="0" xfId="0" applyNumberFormat="1" applyFont="1" applyFill="1" applyAlignment="1" applyProtection="1">
      <alignment horizontal="centerContinuous" vertical="center" wrapText="1"/>
      <protection hidden="1"/>
    </xf>
    <xf numFmtId="0" fontId="19" fillId="0" borderId="0" xfId="0" applyFont="1" applyProtection="1">
      <protection hidden="1"/>
    </xf>
    <xf numFmtId="0" fontId="19" fillId="0" borderId="0" xfId="0" applyFont="1" applyAlignment="1" applyProtection="1">
      <protection hidden="1"/>
    </xf>
    <xf numFmtId="0" fontId="19" fillId="0" borderId="0" xfId="0" applyFont="1" applyFill="1" applyAlignment="1" applyProtection="1">
      <protection hidden="1"/>
    </xf>
    <xf numFmtId="0" fontId="19" fillId="0" borderId="0" xfId="0" quotePrefix="1" applyFont="1" applyFill="1" applyAlignment="1" applyProtection="1">
      <alignment vertical="center"/>
      <protection hidden="1"/>
    </xf>
    <xf numFmtId="0" fontId="19" fillId="0" borderId="0" xfId="0" applyFont="1" applyFill="1" applyAlignment="1" applyProtection="1">
      <alignment horizontal="center"/>
      <protection hidden="1"/>
    </xf>
    <xf numFmtId="0" fontId="20" fillId="0" borderId="0" xfId="0" applyFont="1" applyAlignment="1" applyProtection="1">
      <alignment horizontal="centerContinuous" vertical="center" wrapText="1"/>
      <protection locked="0"/>
    </xf>
    <xf numFmtId="0" fontId="3" fillId="0" borderId="0" xfId="0" applyFont="1" applyFill="1" applyProtection="1">
      <protection hidden="1"/>
    </xf>
    <xf numFmtId="0" fontId="3" fillId="0" borderId="0" xfId="0" applyFont="1" applyProtection="1">
      <protection hidden="1"/>
    </xf>
    <xf numFmtId="0" fontId="3" fillId="2" borderId="0" xfId="12" applyFont="1" applyFill="1" applyAlignment="1">
      <alignment horizontal="left" vertical="top" wrapText="1"/>
    </xf>
    <xf numFmtId="0" fontId="3" fillId="2" borderId="0" xfId="12" applyFont="1" applyFill="1" applyAlignment="1">
      <alignment wrapText="1"/>
    </xf>
    <xf numFmtId="0" fontId="3" fillId="2" borderId="0" xfId="12" applyFont="1" applyFill="1"/>
    <xf numFmtId="0" fontId="5" fillId="2" borderId="0" xfId="12" applyFont="1" applyFill="1" applyAlignment="1">
      <alignment horizontal="centerContinuous" vertical="center" wrapText="1"/>
    </xf>
    <xf numFmtId="0" fontId="3" fillId="2" borderId="0" xfId="12" applyFont="1" applyFill="1" applyAlignment="1">
      <alignment horizontal="center" vertical="center"/>
    </xf>
    <xf numFmtId="10" fontId="3" fillId="2" borderId="0" xfId="12" applyNumberFormat="1" applyFont="1" applyFill="1"/>
    <xf numFmtId="0" fontId="8" fillId="2" borderId="3" xfId="12" applyFont="1" applyFill="1" applyBorder="1" applyAlignment="1">
      <alignment horizontal="center" vertical="center"/>
    </xf>
    <xf numFmtId="1" fontId="16" fillId="0" borderId="0" xfId="12" applyNumberFormat="1" applyFont="1" applyAlignment="1">
      <alignment horizontal="centerContinuous" vertical="center" wrapText="1"/>
    </xf>
    <xf numFmtId="1" fontId="6" fillId="0" borderId="0" xfId="12" applyNumberFormat="1" applyFont="1" applyAlignment="1">
      <alignment horizontal="centerContinuous" vertical="center" wrapText="1"/>
    </xf>
    <xf numFmtId="0" fontId="6" fillId="0" borderId="0" xfId="12" applyFont="1" applyAlignment="1">
      <alignment horizontal="centerContinuous" vertical="center"/>
    </xf>
    <xf numFmtId="0" fontId="8" fillId="0" borderId="4" xfId="0" applyFont="1" applyBorder="1" applyAlignment="1" applyProtection="1">
      <alignment horizontal="centerContinuous"/>
      <protection hidden="1"/>
    </xf>
    <xf numFmtId="0" fontId="8" fillId="0" borderId="5" xfId="0" applyFont="1" applyBorder="1" applyAlignment="1" applyProtection="1">
      <alignment horizontal="center" vertical="center"/>
      <protection hidden="1"/>
    </xf>
    <xf numFmtId="0" fontId="6" fillId="0" borderId="6" xfId="11" applyFont="1" applyBorder="1" applyAlignment="1" applyProtection="1">
      <alignment horizontal="center"/>
      <protection hidden="1"/>
    </xf>
    <xf numFmtId="0" fontId="6" fillId="0" borderId="7" xfId="11" applyFont="1" applyBorder="1" applyAlignment="1" applyProtection="1">
      <alignment horizontal="center"/>
      <protection hidden="1"/>
    </xf>
    <xf numFmtId="0" fontId="6" fillId="0" borderId="8" xfId="11" applyFont="1" applyBorder="1" applyAlignment="1" applyProtection="1">
      <alignment horizontal="center"/>
      <protection hidden="1"/>
    </xf>
    <xf numFmtId="0" fontId="10" fillId="0" borderId="9"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12"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25" fillId="5" borderId="15" xfId="11" applyFont="1" applyFill="1" applyBorder="1"/>
    <xf numFmtId="0" fontId="25" fillId="5" borderId="16" xfId="11" applyFont="1" applyFill="1" applyBorder="1"/>
    <xf numFmtId="0" fontId="3" fillId="0" borderId="17" xfId="11" applyBorder="1"/>
    <xf numFmtId="0" fontId="25" fillId="5" borderId="18" xfId="11" applyFont="1" applyFill="1" applyBorder="1"/>
    <xf numFmtId="0" fontId="3" fillId="0" borderId="19" xfId="11" applyBorder="1"/>
    <xf numFmtId="0" fontId="25" fillId="5" borderId="20" xfId="11" applyFont="1" applyFill="1" applyBorder="1"/>
    <xf numFmtId="0" fontId="3" fillId="0" borderId="21" xfId="11" applyBorder="1"/>
    <xf numFmtId="0" fontId="3" fillId="0" borderId="21" xfId="11" applyFont="1" applyBorder="1"/>
    <xf numFmtId="0" fontId="3" fillId="0" borderId="22" xfId="11" applyFont="1" applyFill="1" applyBorder="1"/>
    <xf numFmtId="0" fontId="10" fillId="0" borderId="23" xfId="0" applyFont="1" applyBorder="1" applyAlignment="1" applyProtection="1">
      <alignment horizontal="center"/>
      <protection hidden="1"/>
    </xf>
    <xf numFmtId="0" fontId="10" fillId="0" borderId="24" xfId="0" applyFont="1" applyBorder="1" applyAlignment="1" applyProtection="1">
      <alignment horizontal="center"/>
      <protection hidden="1"/>
    </xf>
    <xf numFmtId="0" fontId="6" fillId="0" borderId="0" xfId="0" applyFont="1" applyFill="1" applyAlignment="1" applyProtection="1">
      <alignment horizontal="center" vertical="center"/>
      <protection hidden="1"/>
    </xf>
    <xf numFmtId="0" fontId="3" fillId="0" borderId="26" xfId="11" applyFont="1" applyFill="1" applyBorder="1"/>
    <xf numFmtId="0" fontId="3" fillId="0" borderId="27" xfId="11" applyFont="1" applyFill="1" applyBorder="1"/>
    <xf numFmtId="0" fontId="3" fillId="0" borderId="28" xfId="11" applyFont="1" applyFill="1" applyBorder="1"/>
    <xf numFmtId="0" fontId="8" fillId="0" borderId="5" xfId="0" applyFont="1" applyBorder="1" applyAlignment="1" applyProtection="1">
      <alignment horizontal="centerContinuous"/>
      <protection hidden="1"/>
    </xf>
    <xf numFmtId="0" fontId="6" fillId="0" borderId="31" xfId="11" applyFont="1" applyBorder="1" applyAlignment="1" applyProtection="1">
      <alignment horizontal="center"/>
      <protection hidden="1"/>
    </xf>
    <xf numFmtId="168" fontId="15" fillId="0" borderId="42" xfId="9" applyNumberFormat="1" applyFont="1" applyFill="1" applyBorder="1" applyAlignment="1" applyProtection="1">
      <alignment vertical="center"/>
      <protection locked="0"/>
    </xf>
    <xf numFmtId="0" fontId="15" fillId="9" borderId="45" xfId="0" applyFont="1" applyFill="1" applyBorder="1" applyAlignment="1" applyProtection="1">
      <alignment horizontal="centerContinuous" vertical="center"/>
      <protection locked="0"/>
    </xf>
    <xf numFmtId="3" fontId="12" fillId="9" borderId="44" xfId="0" applyNumberFormat="1" applyFont="1" applyFill="1" applyBorder="1" applyAlignment="1" applyProtection="1">
      <alignment horizontal="centerContinuous" vertical="center"/>
      <protection locked="0"/>
    </xf>
    <xf numFmtId="0" fontId="8" fillId="2" borderId="0" xfId="12" applyFont="1" applyFill="1" applyBorder="1" applyAlignment="1">
      <alignment vertical="center"/>
    </xf>
    <xf numFmtId="175" fontId="15" fillId="2" borderId="0" xfId="7" applyNumberFormat="1" applyFont="1" applyFill="1" applyBorder="1" applyAlignment="1"/>
    <xf numFmtId="10" fontId="6" fillId="2" borderId="36" xfId="12" applyNumberFormat="1" applyFont="1" applyFill="1" applyBorder="1" applyAlignment="1">
      <alignment horizontal="center" vertical="center" wrapText="1"/>
    </xf>
    <xf numFmtId="10" fontId="6" fillId="2" borderId="60" xfId="12" applyNumberFormat="1" applyFont="1" applyFill="1" applyBorder="1" applyAlignment="1">
      <alignment horizontal="center" vertical="center" wrapText="1"/>
    </xf>
    <xf numFmtId="0" fontId="6" fillId="0" borderId="53" xfId="12" applyFont="1" applyBorder="1" applyAlignment="1">
      <alignment horizontal="left" vertical="center"/>
    </xf>
    <xf numFmtId="0" fontId="6" fillId="0" borderId="54" xfId="12" applyFont="1" applyBorder="1" applyAlignment="1">
      <alignment horizontal="centerContinuous" vertical="center"/>
    </xf>
    <xf numFmtId="0" fontId="6" fillId="2" borderId="54" xfId="12" applyFont="1" applyFill="1" applyBorder="1" applyAlignment="1">
      <alignment horizontal="centerContinuous" vertical="center" wrapText="1"/>
    </xf>
    <xf numFmtId="0" fontId="3" fillId="2" borderId="53" xfId="12" applyFont="1" applyFill="1" applyBorder="1"/>
    <xf numFmtId="0" fontId="6" fillId="0" borderId="56" xfId="12" applyFont="1" applyBorder="1" applyAlignment="1">
      <alignment horizontal="centerContinuous" vertical="center"/>
    </xf>
    <xf numFmtId="0" fontId="6" fillId="0" borderId="57" xfId="12" applyFont="1" applyBorder="1" applyAlignment="1">
      <alignment horizontal="centerContinuous" vertical="center"/>
    </xf>
    <xf numFmtId="0" fontId="6" fillId="2" borderId="57" xfId="12" applyFont="1" applyFill="1" applyBorder="1" applyAlignment="1">
      <alignment horizontal="centerContinuous" vertical="center" wrapText="1"/>
    </xf>
    <xf numFmtId="0" fontId="3" fillId="2" borderId="54" xfId="12" applyFont="1" applyFill="1" applyBorder="1"/>
    <xf numFmtId="0" fontId="3" fillId="0" borderId="54" xfId="12" applyFont="1" applyFill="1" applyBorder="1"/>
    <xf numFmtId="0" fontId="3" fillId="2" borderId="57" xfId="12" applyFont="1" applyFill="1" applyBorder="1"/>
    <xf numFmtId="0" fontId="3" fillId="0" borderId="57" xfId="12" applyFont="1" applyFill="1" applyBorder="1"/>
    <xf numFmtId="0" fontId="6" fillId="0" borderId="54" xfId="12" applyFont="1" applyFill="1" applyBorder="1" applyAlignment="1">
      <alignment horizontal="right" vertical="center"/>
    </xf>
    <xf numFmtId="0" fontId="6" fillId="0" borderId="53" xfId="12" applyFont="1" applyFill="1" applyBorder="1" applyAlignment="1">
      <alignment horizontal="left" vertical="center"/>
    </xf>
    <xf numFmtId="0" fontId="6" fillId="0" borderId="54" xfId="12" applyFont="1" applyFill="1" applyBorder="1" applyAlignment="1">
      <alignment vertical="center"/>
    </xf>
    <xf numFmtId="0" fontId="6" fillId="0" borderId="53" xfId="12" applyFont="1" applyFill="1" applyBorder="1" applyAlignment="1">
      <alignment horizontal="center" vertical="center" wrapText="1"/>
    </xf>
    <xf numFmtId="0" fontId="6" fillId="0" borderId="54" xfId="12" applyFont="1" applyFill="1" applyBorder="1" applyAlignment="1">
      <alignment horizontal="center" vertical="center" wrapText="1"/>
    </xf>
    <xf numFmtId="0" fontId="6" fillId="0" borderId="56" xfId="12" applyFont="1" applyFill="1" applyBorder="1" applyAlignment="1">
      <alignment horizontal="center" vertical="center" wrapText="1"/>
    </xf>
    <xf numFmtId="0" fontId="6" fillId="0" borderId="57" xfId="12" applyFont="1" applyFill="1" applyBorder="1" applyAlignment="1">
      <alignment horizontal="center" vertical="center" wrapText="1"/>
    </xf>
    <xf numFmtId="0" fontId="6" fillId="0" borderId="57" xfId="12" applyFont="1" applyFill="1" applyBorder="1" applyAlignment="1">
      <alignment horizontal="right" vertical="center"/>
    </xf>
    <xf numFmtId="173" fontId="6" fillId="0" borderId="49" xfId="6" applyNumberFormat="1" applyFont="1" applyFill="1" applyBorder="1" applyAlignment="1" applyProtection="1">
      <alignment vertical="center"/>
      <protection locked="0"/>
    </xf>
    <xf numFmtId="43" fontId="6" fillId="0" borderId="61" xfId="6" applyNumberFormat="1" applyFont="1" applyFill="1" applyBorder="1" applyAlignment="1" applyProtection="1">
      <alignment vertical="center"/>
      <protection locked="0"/>
    </xf>
    <xf numFmtId="175" fontId="6" fillId="2" borderId="55" xfId="7" applyNumberFormat="1" applyFont="1" applyFill="1" applyBorder="1" applyAlignment="1"/>
    <xf numFmtId="175" fontId="6" fillId="2" borderId="49" xfId="7" applyNumberFormat="1" applyFont="1" applyFill="1" applyBorder="1" applyAlignment="1"/>
    <xf numFmtId="176" fontId="6" fillId="2" borderId="55" xfId="7" applyNumberFormat="1" applyFont="1" applyFill="1" applyBorder="1" applyAlignment="1"/>
    <xf numFmtId="175" fontId="6" fillId="2" borderId="58" xfId="7" applyNumberFormat="1" applyFont="1" applyFill="1" applyBorder="1" applyAlignment="1"/>
    <xf numFmtId="1" fontId="8" fillId="2" borderId="34" xfId="12" applyNumberFormat="1" applyFont="1" applyFill="1" applyBorder="1" applyAlignment="1">
      <alignment horizontal="left" vertical="center" wrapText="1"/>
    </xf>
    <xf numFmtId="0" fontId="6" fillId="0" borderId="55" xfId="0" applyFont="1" applyBorder="1" applyAlignment="1">
      <alignment horizontal="center" vertical="center"/>
    </xf>
    <xf numFmtId="0" fontId="6" fillId="2" borderId="55" xfId="12" applyFont="1" applyFill="1" applyBorder="1" applyAlignment="1">
      <alignment horizontal="center"/>
    </xf>
    <xf numFmtId="10" fontId="6" fillId="2" borderId="55" xfId="12" applyNumberFormat="1" applyFont="1" applyFill="1" applyBorder="1" applyAlignment="1">
      <alignment horizontal="center" vertical="center" wrapText="1"/>
    </xf>
    <xf numFmtId="10" fontId="6" fillId="2" borderId="58" xfId="12" applyNumberFormat="1" applyFont="1" applyFill="1" applyBorder="1" applyAlignment="1">
      <alignment horizontal="center" vertical="center" wrapText="1"/>
    </xf>
    <xf numFmtId="0" fontId="8" fillId="2" borderId="5" xfId="12" applyFont="1" applyFill="1" applyBorder="1" applyAlignment="1">
      <alignment horizontal="center" vertical="center" wrapText="1"/>
    </xf>
    <xf numFmtId="4" fontId="8" fillId="2" borderId="3" xfId="12" applyNumberFormat="1" applyFont="1" applyFill="1" applyBorder="1" applyAlignment="1">
      <alignment horizontal="center" vertical="center"/>
    </xf>
    <xf numFmtId="1" fontId="6" fillId="2" borderId="55" xfId="12" applyNumberFormat="1" applyFont="1" applyFill="1" applyBorder="1" applyAlignment="1">
      <alignment horizontal="center" vertical="center" wrapText="1"/>
    </xf>
    <xf numFmtId="0" fontId="6" fillId="0" borderId="54" xfId="12" applyFont="1" applyBorder="1" applyAlignment="1">
      <alignment horizontal="right" vertical="center"/>
    </xf>
    <xf numFmtId="166" fontId="6" fillId="0" borderId="65" xfId="3" applyFont="1" applyFill="1" applyBorder="1" applyAlignment="1" applyProtection="1">
      <alignment horizontal="center" vertical="center" wrapText="1"/>
    </xf>
    <xf numFmtId="177" fontId="6" fillId="2" borderId="65" xfId="3" applyNumberFormat="1" applyFont="1" applyFill="1" applyBorder="1" applyAlignment="1" applyProtection="1">
      <alignment horizontal="center" vertical="center" wrapText="1"/>
    </xf>
    <xf numFmtId="0" fontId="6" fillId="2" borderId="0" xfId="12" applyFont="1" applyFill="1" applyBorder="1" applyAlignment="1">
      <alignment horizontal="right" vertical="center"/>
    </xf>
    <xf numFmtId="175" fontId="6" fillId="2" borderId="0" xfId="7" applyNumberFormat="1" applyFont="1" applyFill="1" applyBorder="1" applyAlignment="1"/>
    <xf numFmtId="0" fontId="10" fillId="0" borderId="0" xfId="0" applyFont="1" applyBorder="1" applyAlignment="1" applyProtection="1">
      <alignment horizontal="centerContinuous" vertical="center" wrapText="1"/>
      <protection hidden="1"/>
    </xf>
    <xf numFmtId="0" fontId="10" fillId="0" borderId="0" xfId="0" applyFont="1" applyBorder="1" applyAlignment="1" applyProtection="1">
      <alignment horizontal="center" vertical="center" wrapText="1"/>
      <protection hidden="1"/>
    </xf>
    <xf numFmtId="0" fontId="9" fillId="0" borderId="0" xfId="0" applyFont="1" applyBorder="1" applyProtection="1">
      <protection hidden="1"/>
    </xf>
    <xf numFmtId="0" fontId="8" fillId="0" borderId="0" xfId="0" applyFont="1" applyBorder="1" applyAlignment="1" applyProtection="1">
      <alignment horizontal="centerContinuous" vertical="center" wrapText="1"/>
      <protection hidden="1"/>
    </xf>
    <xf numFmtId="4" fontId="9" fillId="0" borderId="0" xfId="0" applyNumberFormat="1" applyFont="1" applyBorder="1" applyProtection="1">
      <protection hidden="1"/>
    </xf>
    <xf numFmtId="3" fontId="9" fillId="0" borderId="0" xfId="0" applyNumberFormat="1" applyFont="1" applyFill="1" applyBorder="1" applyProtection="1">
      <protection hidden="1"/>
    </xf>
    <xf numFmtId="4" fontId="8" fillId="0" borderId="0" xfId="0" applyNumberFormat="1" applyFont="1" applyFill="1" applyBorder="1" applyProtection="1">
      <protection hidden="1"/>
    </xf>
    <xf numFmtId="3" fontId="9" fillId="0" borderId="0" xfId="0" applyNumberFormat="1" applyFont="1" applyFill="1" applyBorder="1" applyAlignment="1" applyProtection="1">
      <alignment horizontal="right"/>
      <protection hidden="1"/>
    </xf>
    <xf numFmtId="0" fontId="8" fillId="2" borderId="0" xfId="0" applyFont="1" applyFill="1" applyBorder="1" applyAlignment="1" applyProtection="1">
      <alignment horizontal="center"/>
      <protection hidden="1"/>
    </xf>
    <xf numFmtId="0" fontId="11" fillId="2" borderId="0" xfId="0" applyFont="1" applyFill="1" applyBorder="1" applyAlignment="1" applyProtection="1">
      <alignment horizontal="center" vertical="center"/>
      <protection hidden="1"/>
    </xf>
    <xf numFmtId="167" fontId="8" fillId="0" borderId="0" xfId="0" applyNumberFormat="1" applyFont="1" applyFill="1" applyBorder="1" applyProtection="1">
      <protection hidden="1"/>
    </xf>
    <xf numFmtId="0" fontId="8" fillId="0" borderId="0" xfId="0" applyFont="1" applyFill="1" applyBorder="1" applyAlignment="1" applyProtection="1">
      <alignment horizontal="center" vertical="center"/>
      <protection hidden="1"/>
    </xf>
    <xf numFmtId="0" fontId="8" fillId="2" borderId="9" xfId="0" applyFont="1" applyFill="1" applyBorder="1" applyAlignment="1" applyProtection="1">
      <alignment horizontal="center"/>
      <protection hidden="1"/>
    </xf>
    <xf numFmtId="0" fontId="8" fillId="0" borderId="10" xfId="0" applyFont="1" applyFill="1" applyBorder="1" applyAlignment="1" applyProtection="1">
      <alignment horizontal="center" vertical="center"/>
      <protection hidden="1"/>
    </xf>
    <xf numFmtId="1" fontId="9" fillId="0" borderId="11" xfId="0" applyNumberFormat="1" applyFont="1" applyBorder="1" applyAlignment="1" applyProtection="1">
      <alignment horizontal="center" vertical="center"/>
      <protection hidden="1"/>
    </xf>
    <xf numFmtId="1" fontId="9" fillId="0" borderId="12" xfId="0" applyNumberFormat="1" applyFont="1" applyBorder="1" applyAlignment="1" applyProtection="1">
      <alignment horizontal="center" vertical="center"/>
      <protection hidden="1"/>
    </xf>
    <xf numFmtId="0" fontId="9" fillId="0" borderId="12" xfId="0" applyFont="1" applyBorder="1" applyAlignment="1" applyProtection="1">
      <alignment horizontal="centerContinuous" vertical="center" wrapText="1"/>
      <protection hidden="1"/>
    </xf>
    <xf numFmtId="4" fontId="9" fillId="0" borderId="12" xfId="0" applyNumberFormat="1" applyFont="1" applyBorder="1" applyProtection="1">
      <protection hidden="1"/>
    </xf>
    <xf numFmtId="3" fontId="9" fillId="0" borderId="12" xfId="0" applyNumberFormat="1" applyFont="1" applyFill="1" applyBorder="1" applyProtection="1">
      <protection hidden="1"/>
    </xf>
    <xf numFmtId="3" fontId="9" fillId="0" borderId="2" xfId="0" applyNumberFormat="1" applyFont="1" applyFill="1" applyBorder="1" applyAlignment="1" applyProtection="1">
      <alignment horizontal="right"/>
      <protection hidden="1"/>
    </xf>
    <xf numFmtId="1" fontId="8" fillId="0" borderId="33" xfId="0" applyNumberFormat="1" applyFont="1" applyBorder="1" applyAlignment="1" applyProtection="1">
      <alignment horizontal="center" vertical="center"/>
      <protection hidden="1"/>
    </xf>
    <xf numFmtId="1" fontId="8" fillId="0" borderId="34" xfId="0" applyNumberFormat="1" applyFont="1" applyBorder="1" applyAlignment="1" applyProtection="1">
      <alignment horizontal="center" vertical="center"/>
      <protection hidden="1"/>
    </xf>
    <xf numFmtId="3" fontId="8" fillId="0" borderId="34" xfId="0" applyNumberFormat="1" applyFont="1" applyBorder="1" applyAlignment="1" applyProtection="1">
      <alignment horizontal="center" vertical="center"/>
      <protection hidden="1"/>
    </xf>
    <xf numFmtId="4" fontId="24" fillId="0" borderId="34" xfId="0" applyNumberFormat="1" applyFont="1" applyBorder="1" applyAlignment="1" applyProtection="1">
      <alignment horizontal="center" vertical="center"/>
      <protection locked="0"/>
    </xf>
    <xf numFmtId="174" fontId="8" fillId="0" borderId="69" xfId="0" applyNumberFormat="1" applyFont="1" applyBorder="1" applyAlignment="1" applyProtection="1">
      <alignment horizontal="center" vertical="center"/>
      <protection hidden="1"/>
    </xf>
    <xf numFmtId="2" fontId="9" fillId="0" borderId="2" xfId="0" applyNumberFormat="1" applyFont="1" applyFill="1" applyBorder="1" applyProtection="1">
      <protection hidden="1"/>
    </xf>
    <xf numFmtId="0" fontId="6" fillId="0" borderId="0"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19" fillId="0" borderId="11" xfId="0" applyFont="1" applyBorder="1" applyAlignment="1" applyProtection="1">
      <alignment horizontal="center" vertical="center"/>
      <protection hidden="1"/>
    </xf>
    <xf numFmtId="0" fontId="19" fillId="0" borderId="12" xfId="0" applyFont="1" applyBorder="1" applyProtection="1">
      <protection hidden="1"/>
    </xf>
    <xf numFmtId="0" fontId="19" fillId="0" borderId="2" xfId="0" applyFont="1" applyBorder="1" applyProtection="1">
      <protection hidden="1"/>
    </xf>
    <xf numFmtId="170" fontId="4" fillId="0" borderId="33" xfId="0" applyNumberFormat="1" applyFont="1" applyFill="1" applyBorder="1" applyAlignment="1" applyProtection="1">
      <alignment horizontal="center" vertical="center"/>
      <protection hidden="1"/>
    </xf>
    <xf numFmtId="0" fontId="4" fillId="0" borderId="34" xfId="0" applyFont="1" applyFill="1" applyBorder="1" applyAlignment="1" applyProtection="1">
      <alignment horizontal="left" vertical="center" wrapText="1"/>
      <protection hidden="1"/>
    </xf>
    <xf numFmtId="0" fontId="0" fillId="0" borderId="0" xfId="0" applyAlignment="1">
      <alignment wrapText="1"/>
    </xf>
    <xf numFmtId="176" fontId="0" fillId="0" borderId="0" xfId="0" applyNumberFormat="1"/>
    <xf numFmtId="175" fontId="0" fillId="0" borderId="0" xfId="7" applyNumberFormat="1" applyFont="1"/>
    <xf numFmtId="0" fontId="7" fillId="0" borderId="34" xfId="0" applyFont="1" applyBorder="1" applyAlignment="1" applyProtection="1">
      <alignment horizontal="center" vertical="center"/>
      <protection hidden="1"/>
    </xf>
    <xf numFmtId="3" fontId="6" fillId="6" borderId="29" xfId="11" applyNumberFormat="1" applyFont="1" applyFill="1" applyBorder="1" applyAlignment="1" applyProtection="1">
      <alignment horizontal="right"/>
      <protection hidden="1"/>
    </xf>
    <xf numFmtId="3" fontId="6" fillId="8" borderId="36" xfId="11" applyNumberFormat="1" applyFont="1" applyFill="1" applyBorder="1" applyAlignment="1" applyProtection="1">
      <alignment horizontal="right"/>
      <protection hidden="1"/>
    </xf>
    <xf numFmtId="3" fontId="6" fillId="7" borderId="30" xfId="11" applyNumberFormat="1" applyFont="1" applyFill="1" applyBorder="1" applyAlignment="1" applyProtection="1">
      <alignment horizontal="right"/>
      <protection hidden="1"/>
    </xf>
    <xf numFmtId="0" fontId="6" fillId="10" borderId="47" xfId="0" applyFont="1" applyFill="1" applyBorder="1" applyAlignment="1" applyProtection="1">
      <alignment horizontal="centerContinuous" vertical="center" wrapText="1"/>
      <protection locked="0"/>
    </xf>
    <xf numFmtId="0" fontId="6" fillId="10" borderId="5" xfId="0" applyFont="1" applyFill="1" applyBorder="1" applyAlignment="1" applyProtection="1">
      <alignment horizontal="centerContinuous" vertical="center" wrapText="1"/>
      <protection locked="0"/>
    </xf>
    <xf numFmtId="0" fontId="3" fillId="0" borderId="48"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left" vertical="center" wrapText="1"/>
      <protection locked="0"/>
    </xf>
    <xf numFmtId="4" fontId="3" fillId="0" borderId="49" xfId="7" applyNumberFormat="1" applyFont="1" applyFill="1" applyBorder="1" applyAlignment="1" applyProtection="1">
      <alignment vertical="center"/>
      <protection locked="0"/>
    </xf>
    <xf numFmtId="168" fontId="3" fillId="0" borderId="34" xfId="0" applyNumberFormat="1" applyFont="1" applyFill="1" applyBorder="1" applyAlignment="1" applyProtection="1">
      <alignment horizontal="right" vertical="center"/>
      <protection locked="0"/>
    </xf>
    <xf numFmtId="3" fontId="3" fillId="0" borderId="49" xfId="7" applyNumberFormat="1" applyFont="1" applyFill="1" applyBorder="1" applyAlignment="1" applyProtection="1">
      <alignment horizontal="center" vertical="center"/>
      <protection locked="0"/>
    </xf>
    <xf numFmtId="3" fontId="3" fillId="0" borderId="40" xfId="0" applyNumberFormat="1" applyFont="1" applyFill="1" applyBorder="1" applyAlignment="1" applyProtection="1">
      <alignment horizontal="centerContinuous" vertical="center"/>
      <protection locked="0"/>
    </xf>
    <xf numFmtId="0" fontId="3" fillId="0" borderId="39" xfId="0" applyFont="1" applyBorder="1" applyAlignment="1" applyProtection="1">
      <alignment horizontal="center"/>
      <protection hidden="1"/>
    </xf>
    <xf numFmtId="3" fontId="3" fillId="0" borderId="39" xfId="7" applyNumberFormat="1" applyFont="1" applyFill="1" applyBorder="1" applyAlignment="1" applyProtection="1">
      <alignment horizontal="center" vertical="center"/>
      <protection locked="0"/>
    </xf>
    <xf numFmtId="3" fontId="3" fillId="0" borderId="39" xfId="0" applyNumberFormat="1" applyFont="1" applyFill="1" applyBorder="1" applyAlignment="1" applyProtection="1">
      <alignment horizontal="center" vertical="center"/>
      <protection locked="0"/>
    </xf>
    <xf numFmtId="0" fontId="12" fillId="9" borderId="44" xfId="0" applyFont="1" applyFill="1" applyBorder="1" applyAlignment="1" applyProtection="1">
      <alignment horizontal="centerContinuous"/>
      <protection locked="0"/>
    </xf>
    <xf numFmtId="0" fontId="12" fillId="9" borderId="46" xfId="0" applyFont="1" applyFill="1" applyBorder="1" applyAlignment="1" applyProtection="1">
      <alignment horizontal="centerContinuous"/>
      <protection hidden="1"/>
    </xf>
    <xf numFmtId="0" fontId="12" fillId="0" borderId="40" xfId="0" applyFont="1" applyFill="1" applyBorder="1" applyProtection="1">
      <protection hidden="1"/>
    </xf>
    <xf numFmtId="168" fontId="15" fillId="0" borderId="41" xfId="9" applyNumberFormat="1" applyFont="1" applyFill="1" applyBorder="1" applyAlignment="1" applyProtection="1">
      <alignment horizontal="center" vertical="center"/>
      <protection hidden="1"/>
    </xf>
    <xf numFmtId="1" fontId="6" fillId="2" borderId="62" xfId="12" applyNumberFormat="1" applyFont="1" applyFill="1" applyBorder="1" applyAlignment="1">
      <alignment horizontal="center" vertical="center" wrapText="1"/>
    </xf>
    <xf numFmtId="1" fontId="6" fillId="2" borderId="63" xfId="12" applyNumberFormat="1" applyFont="1" applyFill="1" applyBorder="1" applyAlignment="1">
      <alignment horizontal="center" vertical="center" wrapText="1"/>
    </xf>
    <xf numFmtId="1" fontId="6" fillId="2" borderId="63" xfId="12" applyNumberFormat="1" applyFont="1" applyFill="1" applyBorder="1" applyAlignment="1">
      <alignment horizontal="left" vertical="center" wrapText="1"/>
    </xf>
    <xf numFmtId="3" fontId="6" fillId="0" borderId="63" xfId="12" applyNumberFormat="1" applyFont="1" applyFill="1" applyBorder="1" applyAlignment="1">
      <alignment horizontal="center" vertical="center" wrapText="1"/>
    </xf>
    <xf numFmtId="180" fontId="6" fillId="0" borderId="63" xfId="12" applyNumberFormat="1" applyFont="1" applyFill="1" applyBorder="1" applyAlignment="1">
      <alignment horizontal="center" vertical="center" wrapText="1"/>
    </xf>
    <xf numFmtId="1" fontId="6" fillId="2" borderId="48" xfId="12" applyNumberFormat="1" applyFont="1" applyFill="1" applyBorder="1" applyAlignment="1">
      <alignment horizontal="center" vertical="center" wrapText="1"/>
    </xf>
    <xf numFmtId="1" fontId="6" fillId="2" borderId="34" xfId="12" applyNumberFormat="1" applyFont="1" applyFill="1" applyBorder="1" applyAlignment="1">
      <alignment horizontal="center" vertical="center" wrapText="1"/>
    </xf>
    <xf numFmtId="1" fontId="6" fillId="2" borderId="34" xfId="12" applyNumberFormat="1" applyFont="1" applyFill="1" applyBorder="1" applyAlignment="1">
      <alignment horizontal="left" vertical="center" wrapText="1"/>
    </xf>
    <xf numFmtId="3" fontId="6" fillId="0" borderId="34" xfId="12" applyNumberFormat="1" applyFont="1" applyFill="1" applyBorder="1" applyAlignment="1">
      <alignment horizontal="center" vertical="center" wrapText="1"/>
    </xf>
    <xf numFmtId="180" fontId="6" fillId="0" borderId="34" xfId="12" applyNumberFormat="1" applyFont="1" applyFill="1" applyBorder="1" applyAlignment="1">
      <alignment horizontal="center" vertical="center" wrapText="1"/>
    </xf>
    <xf numFmtId="0" fontId="32" fillId="0" borderId="0" xfId="0" applyFont="1" applyAlignment="1" applyProtection="1">
      <alignment horizontal="center" vertical="center"/>
      <protection hidden="1"/>
    </xf>
    <xf numFmtId="1" fontId="10" fillId="0" borderId="0" xfId="0" applyNumberFormat="1" applyFont="1" applyProtection="1">
      <protection hidden="1"/>
    </xf>
    <xf numFmtId="0" fontId="4" fillId="0" borderId="106" xfId="0" applyFont="1" applyFill="1" applyBorder="1" applyAlignment="1" applyProtection="1">
      <alignment horizontal="center" vertical="center" wrapText="1"/>
      <protection hidden="1"/>
    </xf>
    <xf numFmtId="175" fontId="6" fillId="10" borderId="38" xfId="7" applyNumberFormat="1" applyFont="1" applyFill="1" applyBorder="1" applyAlignment="1" applyProtection="1">
      <alignment vertical="center" wrapText="1"/>
      <protection locked="0"/>
    </xf>
    <xf numFmtId="0" fontId="6" fillId="10" borderId="62" xfId="0" applyFont="1" applyFill="1" applyBorder="1" applyAlignment="1" applyProtection="1">
      <alignment horizontal="centerContinuous" vertical="center" wrapText="1"/>
      <protection locked="0"/>
    </xf>
    <xf numFmtId="175" fontId="6" fillId="10" borderId="63" xfId="7" applyNumberFormat="1" applyFont="1" applyFill="1" applyBorder="1" applyAlignment="1" applyProtection="1">
      <alignment vertical="center" wrapText="1"/>
      <protection locked="0"/>
    </xf>
    <xf numFmtId="0" fontId="6" fillId="10" borderId="64" xfId="0" applyFont="1" applyFill="1" applyBorder="1" applyAlignment="1" applyProtection="1">
      <alignment horizontal="centerContinuous" vertical="center" wrapText="1"/>
      <protection locked="0"/>
    </xf>
    <xf numFmtId="0" fontId="10" fillId="0" borderId="9" xfId="0" applyFont="1" applyBorder="1" applyProtection="1">
      <protection hidden="1"/>
    </xf>
    <xf numFmtId="167" fontId="3" fillId="0" borderId="34" xfId="0" applyNumberFormat="1" applyFont="1" applyFill="1" applyBorder="1" applyAlignment="1" applyProtection="1">
      <alignment horizontal="right" vertical="center"/>
      <protection locked="0"/>
    </xf>
    <xf numFmtId="167" fontId="6" fillId="10" borderId="5" xfId="0" applyNumberFormat="1" applyFont="1" applyFill="1" applyBorder="1" applyAlignment="1" applyProtection="1">
      <alignment horizontal="centerContinuous" vertical="center" wrapText="1"/>
      <protection locked="0"/>
    </xf>
    <xf numFmtId="0" fontId="0" fillId="0" borderId="0" xfId="0" applyAlignment="1">
      <alignment horizontal="center" vertical="center"/>
    </xf>
    <xf numFmtId="0" fontId="3" fillId="2" borderId="0" xfId="12" applyFont="1" applyFill="1" applyAlignment="1">
      <alignment horizontal="center" vertical="center" wrapText="1"/>
    </xf>
    <xf numFmtId="3" fontId="3" fillId="2" borderId="0" xfId="12" applyNumberFormat="1" applyFont="1" applyFill="1" applyAlignment="1">
      <alignment horizontal="center" vertical="center"/>
    </xf>
    <xf numFmtId="0" fontId="6" fillId="2" borderId="42" xfId="12" applyFont="1" applyFill="1" applyBorder="1" applyAlignment="1">
      <alignment horizontal="center" vertical="center"/>
    </xf>
    <xf numFmtId="0" fontId="3" fillId="0" borderId="107" xfId="11" applyFont="1" applyFill="1" applyBorder="1"/>
    <xf numFmtId="207" fontId="4" fillId="0" borderId="35" xfId="0" applyNumberFormat="1" applyFont="1" applyFill="1" applyBorder="1" applyAlignment="1" applyProtection="1">
      <alignment horizontal="right" vertical="center"/>
      <protection hidden="1"/>
    </xf>
    <xf numFmtId="207" fontId="6" fillId="0" borderId="49" xfId="12" applyNumberFormat="1" applyFont="1" applyFill="1" applyBorder="1" applyAlignment="1">
      <alignment horizontal="center" vertical="center" wrapText="1"/>
    </xf>
    <xf numFmtId="207" fontId="8" fillId="0" borderId="34" xfId="0" applyNumberFormat="1" applyFont="1" applyFill="1" applyBorder="1" applyAlignment="1" applyProtection="1">
      <alignment horizontal="center" vertical="center"/>
      <protection hidden="1"/>
    </xf>
    <xf numFmtId="3" fontId="56" fillId="43" borderId="1" xfId="0" applyNumberFormat="1" applyFont="1" applyFill="1" applyBorder="1" applyAlignment="1" applyProtection="1">
      <alignment horizontal="centerContinuous" vertical="center"/>
      <protection locked="0"/>
    </xf>
    <xf numFmtId="168" fontId="19" fillId="0" borderId="0" xfId="0" applyNumberFormat="1" applyFont="1" applyFill="1" applyAlignment="1" applyProtection="1">
      <protection hidden="1"/>
    </xf>
    <xf numFmtId="168" fontId="3" fillId="0" borderId="0" xfId="0" applyNumberFormat="1" applyFont="1" applyFill="1" applyAlignment="1" applyProtection="1">
      <protection hidden="1"/>
    </xf>
    <xf numFmtId="168" fontId="9" fillId="0" borderId="0" xfId="0" applyNumberFormat="1" applyFont="1" applyProtection="1">
      <protection hidden="1"/>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wrapText="1"/>
    </xf>
    <xf numFmtId="0" fontId="6" fillId="0" borderId="109" xfId="0" applyFont="1" applyFill="1" applyBorder="1" applyAlignment="1" applyProtection="1">
      <alignment horizontal="center" vertical="center"/>
      <protection hidden="1"/>
    </xf>
    <xf numFmtId="0" fontId="6" fillId="0" borderId="109" xfId="0" quotePrefix="1" applyFont="1" applyFill="1" applyBorder="1" applyAlignment="1" applyProtection="1">
      <alignment horizontal="center" vertical="center"/>
      <protection hidden="1"/>
    </xf>
    <xf numFmtId="0" fontId="6" fillId="0" borderId="110" xfId="0" applyFont="1" applyFill="1" applyBorder="1" applyAlignment="1" applyProtection="1">
      <alignment horizontal="center" vertical="center"/>
      <protection hidden="1"/>
    </xf>
    <xf numFmtId="0" fontId="6" fillId="0" borderId="111" xfId="0" applyFont="1" applyFill="1" applyBorder="1" applyAlignment="1" applyProtection="1">
      <alignment horizontal="center" vertical="center" wrapText="1"/>
      <protection hidden="1"/>
    </xf>
    <xf numFmtId="0" fontId="6" fillId="0" borderId="108" xfId="0" quotePrefix="1" applyFont="1" applyFill="1" applyBorder="1" applyAlignment="1" applyProtection="1">
      <alignment horizontal="center" vertical="center"/>
      <protection hidden="1"/>
    </xf>
    <xf numFmtId="178" fontId="0" fillId="0" borderId="0" xfId="0" applyNumberFormat="1"/>
    <xf numFmtId="0" fontId="58" fillId="0" borderId="0" xfId="0" applyFont="1"/>
    <xf numFmtId="0" fontId="58" fillId="2" borderId="0" xfId="12" applyFont="1" applyFill="1"/>
    <xf numFmtId="0" fontId="58" fillId="2" borderId="0" xfId="12" applyFont="1" applyFill="1" applyAlignment="1">
      <alignment wrapText="1"/>
    </xf>
    <xf numFmtId="179" fontId="58" fillId="2" borderId="0" xfId="12" applyNumberFormat="1" applyFont="1" applyFill="1" applyAlignment="1">
      <alignment horizontal="center" vertical="center"/>
    </xf>
    <xf numFmtId="179" fontId="58" fillId="2" borderId="0" xfId="12" applyNumberFormat="1" applyFont="1" applyFill="1"/>
    <xf numFmtId="209" fontId="3" fillId="2" borderId="0" xfId="12" applyNumberFormat="1" applyFont="1" applyFill="1" applyAlignment="1">
      <alignment horizontal="center" vertical="center"/>
    </xf>
    <xf numFmtId="0" fontId="0" fillId="44" borderId="0" xfId="0" applyFill="1"/>
    <xf numFmtId="208" fontId="6" fillId="2" borderId="63" xfId="12" applyNumberFormat="1" applyFont="1" applyFill="1" applyBorder="1" applyAlignment="1">
      <alignment horizontal="center" vertical="center" wrapText="1"/>
    </xf>
    <xf numFmtId="208" fontId="6" fillId="2" borderId="34" xfId="12" applyNumberFormat="1" applyFont="1" applyFill="1" applyBorder="1" applyAlignment="1">
      <alignment horizontal="center" vertical="center" wrapText="1"/>
    </xf>
    <xf numFmtId="208" fontId="8" fillId="0" borderId="34" xfId="0" applyNumberFormat="1" applyFont="1" applyFill="1" applyBorder="1" applyAlignment="1" applyProtection="1">
      <alignment horizontal="center" vertical="center"/>
      <protection hidden="1"/>
    </xf>
    <xf numFmtId="4" fontId="6" fillId="44" borderId="1" xfId="7" applyNumberFormat="1" applyFont="1" applyFill="1" applyBorder="1" applyAlignment="1" applyProtection="1">
      <alignment horizontal="right" vertical="center"/>
      <protection locked="0"/>
    </xf>
    <xf numFmtId="0" fontId="7" fillId="0" borderId="112" xfId="0" applyFont="1" applyBorder="1" applyAlignment="1" applyProtection="1">
      <alignment horizontal="center" vertical="center"/>
      <protection hidden="1"/>
    </xf>
    <xf numFmtId="0" fontId="10" fillId="0" borderId="25" xfId="0" applyFont="1" applyBorder="1" applyAlignment="1" applyProtection="1">
      <alignment horizontal="center"/>
      <protection hidden="1"/>
    </xf>
    <xf numFmtId="0" fontId="10" fillId="0" borderId="2" xfId="0" applyFont="1" applyBorder="1" applyAlignment="1" applyProtection="1">
      <alignment horizontal="center"/>
      <protection hidden="1"/>
    </xf>
    <xf numFmtId="3" fontId="3" fillId="0" borderId="113" xfId="0" applyNumberFormat="1" applyFont="1" applyFill="1" applyBorder="1" applyAlignment="1" applyProtection="1">
      <alignment horizontal="centerContinuous" vertical="center"/>
      <protection locked="0"/>
    </xf>
    <xf numFmtId="0" fontId="3" fillId="0" borderId="0" xfId="0" applyFont="1" applyFill="1" applyAlignment="1" applyProtection="1">
      <alignment horizontal="right" vertical="center"/>
      <protection hidden="1"/>
    </xf>
    <xf numFmtId="3" fontId="3" fillId="0" borderId="40" xfId="0" applyNumberFormat="1" applyFont="1" applyFill="1" applyBorder="1" applyAlignment="1" applyProtection="1">
      <alignment horizontal="right" vertical="center"/>
      <protection locked="0"/>
    </xf>
    <xf numFmtId="3" fontId="3" fillId="0" borderId="3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3" fillId="0" borderId="0" xfId="0" applyFont="1" applyAlignment="1" applyProtection="1">
      <alignment horizontal="right" vertical="center"/>
      <protection hidden="1"/>
    </xf>
    <xf numFmtId="0" fontId="15" fillId="9" borderId="43" xfId="0" applyFont="1" applyFill="1" applyBorder="1" applyAlignment="1" applyProtection="1">
      <alignment horizontal="centerContinuous" vertical="center"/>
      <protection locked="0"/>
    </xf>
    <xf numFmtId="0" fontId="4" fillId="0" borderId="114" xfId="0" applyFont="1" applyFill="1" applyBorder="1" applyAlignment="1" applyProtection="1">
      <alignment horizontal="left" vertical="center" wrapText="1"/>
      <protection hidden="1"/>
    </xf>
    <xf numFmtId="177" fontId="10" fillId="0" borderId="0" xfId="3" applyNumberFormat="1" applyFont="1" applyAlignment="1" applyProtection="1">
      <alignment horizontal="center" vertical="center"/>
      <protection hidden="1"/>
    </xf>
    <xf numFmtId="178" fontId="58" fillId="2" borderId="0" xfId="12" applyNumberFormat="1" applyFont="1" applyFill="1" applyAlignment="1">
      <alignment horizontal="right" vertical="center"/>
    </xf>
    <xf numFmtId="166" fontId="58" fillId="2" borderId="0" xfId="3" applyFont="1" applyFill="1" applyAlignment="1">
      <alignment horizontal="center" vertical="center"/>
    </xf>
    <xf numFmtId="0" fontId="10" fillId="0" borderId="115" xfId="0" applyFont="1" applyBorder="1" applyAlignment="1" applyProtection="1">
      <alignment horizontal="center"/>
      <protection hidden="1"/>
    </xf>
    <xf numFmtId="0" fontId="10" fillId="0" borderId="51" xfId="0" applyFont="1" applyBorder="1" applyAlignment="1" applyProtection="1">
      <alignment horizontal="center"/>
      <protection hidden="1"/>
    </xf>
    <xf numFmtId="4" fontId="6" fillId="44" borderId="55" xfId="7" applyNumberFormat="1" applyFont="1" applyFill="1" applyBorder="1" applyAlignment="1" applyProtection="1">
      <alignment horizontal="right" vertical="center"/>
      <protection locked="0"/>
    </xf>
    <xf numFmtId="168" fontId="3" fillId="0" borderId="120" xfId="0" applyNumberFormat="1" applyFont="1" applyFill="1" applyBorder="1" applyAlignment="1" applyProtection="1">
      <alignment horizontal="right" vertical="center"/>
      <protection locked="0"/>
    </xf>
    <xf numFmtId="3" fontId="3" fillId="0" borderId="61" xfId="7" applyNumberFormat="1" applyFont="1" applyFill="1" applyBorder="1" applyAlignment="1" applyProtection="1">
      <alignment horizontal="center" vertical="center"/>
      <protection locked="0"/>
    </xf>
    <xf numFmtId="1" fontId="56" fillId="0" borderId="0" xfId="12" applyNumberFormat="1" applyFont="1" applyAlignment="1">
      <alignment horizontal="centerContinuous" vertical="center" wrapText="1"/>
    </xf>
    <xf numFmtId="1" fontId="60" fillId="0" borderId="0" xfId="12" applyNumberFormat="1" applyFont="1" applyAlignment="1">
      <alignment horizontal="centerContinuous" vertical="center" wrapText="1"/>
    </xf>
    <xf numFmtId="207" fontId="8" fillId="0" borderId="35" xfId="0" applyNumberFormat="1" applyFont="1" applyBorder="1" applyAlignment="1" applyProtection="1">
      <alignment horizontal="center" vertical="center"/>
      <protection hidden="1"/>
    </xf>
    <xf numFmtId="0" fontId="3" fillId="0" borderId="119" xfId="0" applyFont="1" applyFill="1" applyBorder="1" applyAlignment="1" applyProtection="1">
      <alignment horizontal="center" vertical="center" wrapText="1"/>
      <protection locked="0"/>
    </xf>
    <xf numFmtId="0" fontId="3" fillId="0" borderId="120" xfId="0" applyFont="1" applyFill="1" applyBorder="1" applyAlignment="1" applyProtection="1">
      <alignment horizontal="center" vertical="center" wrapText="1"/>
      <protection locked="0"/>
    </xf>
    <xf numFmtId="4" fontId="3" fillId="0" borderId="61" xfId="7" applyNumberFormat="1" applyFont="1" applyFill="1" applyBorder="1" applyAlignment="1" applyProtection="1">
      <alignment vertical="center"/>
      <protection locked="0"/>
    </xf>
    <xf numFmtId="0" fontId="6" fillId="45" borderId="13" xfId="0" applyFont="1" applyFill="1" applyBorder="1" applyAlignment="1" applyProtection="1">
      <alignment horizontal="center" vertical="center" wrapText="1"/>
      <protection locked="0"/>
    </xf>
    <xf numFmtId="0" fontId="6" fillId="45" borderId="116" xfId="0" applyFont="1" applyFill="1" applyBorder="1" applyAlignment="1" applyProtection="1">
      <alignment vertical="center" wrapText="1"/>
      <protection locked="0"/>
    </xf>
    <xf numFmtId="0" fontId="6" fillId="45" borderId="57" xfId="0" applyFont="1" applyFill="1" applyBorder="1" applyAlignment="1" applyProtection="1">
      <alignment horizontal="center" vertical="center" wrapText="1"/>
      <protection locked="0"/>
    </xf>
    <xf numFmtId="0" fontId="6" fillId="45" borderId="125" xfId="0" applyFont="1" applyFill="1" applyBorder="1" applyAlignment="1" applyProtection="1">
      <alignment horizontal="center" vertical="center" wrapText="1"/>
      <protection hidden="1"/>
    </xf>
    <xf numFmtId="0" fontId="10" fillId="0" borderId="126" xfId="0" applyFont="1" applyBorder="1" applyAlignment="1" applyProtection="1">
      <alignment horizontal="center"/>
      <protection hidden="1"/>
    </xf>
    <xf numFmtId="0" fontId="3" fillId="0" borderId="120" xfId="0" applyFont="1" applyFill="1" applyBorder="1" applyAlignment="1" applyProtection="1">
      <alignment horizontal="left" vertical="center" wrapText="1"/>
      <protection locked="0"/>
    </xf>
    <xf numFmtId="167" fontId="3" fillId="0" borderId="120" xfId="0" applyNumberFormat="1" applyFont="1" applyFill="1" applyBorder="1" applyAlignment="1" applyProtection="1">
      <alignment horizontal="right" vertical="center"/>
      <protection locked="0"/>
    </xf>
    <xf numFmtId="0" fontId="6" fillId="46" borderId="121" xfId="0" applyFont="1" applyFill="1" applyBorder="1" applyAlignment="1" applyProtection="1">
      <alignment horizontal="right" vertical="center"/>
      <protection locked="0"/>
    </xf>
    <xf numFmtId="0" fontId="6" fillId="46" borderId="122" xfId="0" applyFont="1" applyFill="1" applyBorder="1" applyAlignment="1" applyProtection="1">
      <alignment horizontal="right" vertical="center"/>
      <protection locked="0"/>
    </xf>
    <xf numFmtId="0" fontId="6" fillId="46" borderId="122" xfId="0" quotePrefix="1" applyFont="1" applyFill="1" applyBorder="1" applyAlignment="1" applyProtection="1">
      <alignment horizontal="right" vertical="center"/>
      <protection locked="0"/>
    </xf>
    <xf numFmtId="4" fontId="6" fillId="46" borderId="122" xfId="0" applyNumberFormat="1" applyFont="1" applyFill="1" applyBorder="1" applyAlignment="1" applyProtection="1">
      <alignment horizontal="right" vertical="center"/>
      <protection locked="0"/>
    </xf>
    <xf numFmtId="4" fontId="6" fillId="46" borderId="123" xfId="7" applyNumberFormat="1" applyFont="1" applyFill="1" applyBorder="1" applyAlignment="1" applyProtection="1">
      <alignment horizontal="right" vertical="center"/>
      <protection locked="0"/>
    </xf>
    <xf numFmtId="4" fontId="6" fillId="46" borderId="55" xfId="7" applyNumberFormat="1" applyFont="1" applyFill="1" applyBorder="1" applyAlignment="1" applyProtection="1">
      <alignment horizontal="right" vertical="center"/>
      <protection locked="0"/>
    </xf>
    <xf numFmtId="0" fontId="6" fillId="46" borderId="53" xfId="0" applyFont="1" applyFill="1" applyBorder="1" applyAlignment="1" applyProtection="1">
      <alignment horizontal="right" vertical="center"/>
      <protection locked="0"/>
    </xf>
    <xf numFmtId="0" fontId="6" fillId="46" borderId="54" xfId="0" applyFont="1" applyFill="1" applyBorder="1" applyAlignment="1" applyProtection="1">
      <alignment horizontal="right" vertical="center"/>
      <protection locked="0"/>
    </xf>
    <xf numFmtId="0" fontId="6" fillId="46" borderId="54" xfId="0" quotePrefix="1" applyFont="1" applyFill="1" applyBorder="1" applyAlignment="1" applyProtection="1">
      <alignment horizontal="right" vertical="center"/>
      <protection locked="0"/>
    </xf>
    <xf numFmtId="4" fontId="6" fillId="46" borderId="54" xfId="0" applyNumberFormat="1" applyFont="1" applyFill="1" applyBorder="1" applyAlignment="1" applyProtection="1">
      <alignment horizontal="right" vertical="center"/>
      <protection locked="0"/>
    </xf>
    <xf numFmtId="10" fontId="6" fillId="44" borderId="60" xfId="228" applyNumberFormat="1" applyFont="1" applyFill="1" applyBorder="1" applyAlignment="1" applyProtection="1">
      <alignment horizontal="center" vertical="center"/>
      <protection locked="0"/>
    </xf>
    <xf numFmtId="10" fontId="6" fillId="10" borderId="60" xfId="228" applyNumberFormat="1" applyFont="1" applyFill="1" applyBorder="1" applyAlignment="1" applyProtection="1">
      <alignment horizontal="center" vertical="center"/>
      <protection locked="0"/>
    </xf>
    <xf numFmtId="4" fontId="6" fillId="10" borderId="55" xfId="7" applyNumberFormat="1" applyFont="1" applyFill="1" applyBorder="1" applyAlignment="1" applyProtection="1">
      <alignment horizontal="right" vertical="center"/>
      <protection locked="0"/>
    </xf>
    <xf numFmtId="0" fontId="6" fillId="46" borderId="56" xfId="0" applyFont="1" applyFill="1" applyBorder="1" applyAlignment="1" applyProtection="1">
      <alignment horizontal="right" vertical="center"/>
      <protection locked="0"/>
    </xf>
    <xf numFmtId="0" fontId="6" fillId="46" borderId="57" xfId="0" applyFont="1" applyFill="1" applyBorder="1" applyAlignment="1" applyProtection="1">
      <alignment horizontal="right" vertical="center"/>
      <protection locked="0"/>
    </xf>
    <xf numFmtId="0" fontId="6" fillId="46" borderId="57" xfId="0" quotePrefix="1" applyFont="1" applyFill="1" applyBorder="1" applyAlignment="1" applyProtection="1">
      <alignment horizontal="right" vertical="center"/>
      <protection locked="0"/>
    </xf>
    <xf numFmtId="4" fontId="6" fillId="46" borderId="57" xfId="0" applyNumberFormat="1" applyFont="1" applyFill="1" applyBorder="1" applyAlignment="1" applyProtection="1">
      <alignment horizontal="right" vertical="center"/>
      <protection locked="0"/>
    </xf>
    <xf numFmtId="4" fontId="6" fillId="46" borderId="58" xfId="7" applyNumberFormat="1" applyFont="1" applyFill="1" applyBorder="1" applyAlignment="1" applyProtection="1">
      <alignment horizontal="right" vertical="center"/>
      <protection locked="0"/>
    </xf>
    <xf numFmtId="10" fontId="6" fillId="10" borderId="1" xfId="228" applyNumberFormat="1" applyFont="1" applyFill="1" applyBorder="1" applyAlignment="1" applyProtection="1">
      <alignment horizontal="centerContinuous" vertical="center"/>
      <protection locked="0"/>
    </xf>
    <xf numFmtId="4" fontId="6" fillId="47" borderId="118" xfId="7" applyNumberFormat="1" applyFont="1" applyFill="1" applyBorder="1" applyAlignment="1" applyProtection="1">
      <alignment horizontal="right" vertical="center"/>
      <protection locked="0"/>
    </xf>
    <xf numFmtId="4" fontId="6" fillId="47" borderId="1" xfId="7" applyNumberFormat="1" applyFont="1" applyFill="1" applyBorder="1" applyAlignment="1" applyProtection="1">
      <alignment horizontal="right" vertical="center"/>
      <protection locked="0"/>
    </xf>
    <xf numFmtId="4" fontId="6" fillId="10" borderId="1" xfId="7" applyNumberFormat="1" applyFont="1" applyFill="1" applyBorder="1" applyAlignment="1" applyProtection="1">
      <alignment horizontal="right" vertical="center"/>
      <protection locked="0"/>
    </xf>
    <xf numFmtId="4" fontId="6" fillId="46" borderId="42" xfId="7" applyNumberFormat="1" applyFont="1" applyFill="1" applyBorder="1" applyAlignment="1" applyProtection="1">
      <alignment horizontal="right" vertical="center"/>
      <protection locked="0"/>
    </xf>
    <xf numFmtId="3" fontId="3" fillId="0" borderId="34" xfId="0" applyNumberFormat="1" applyFont="1" applyFill="1" applyBorder="1" applyAlignment="1" applyProtection="1">
      <alignment horizontal="right" vertical="center"/>
      <protection locked="0"/>
    </xf>
    <xf numFmtId="3" fontId="6" fillId="10" borderId="5" xfId="0" applyNumberFormat="1" applyFont="1" applyFill="1" applyBorder="1" applyAlignment="1" applyProtection="1">
      <alignment horizontal="centerContinuous" vertical="center" wrapText="1"/>
      <protection locked="0"/>
    </xf>
    <xf numFmtId="3" fontId="3" fillId="0" borderId="120" xfId="0" applyNumberFormat="1" applyFont="1" applyFill="1" applyBorder="1" applyAlignment="1" applyProtection="1">
      <alignment horizontal="right" vertical="center"/>
      <protection locked="0"/>
    </xf>
    <xf numFmtId="3" fontId="3" fillId="0" borderId="48" xfId="0" applyNumberFormat="1" applyFont="1" applyFill="1" applyBorder="1" applyAlignment="1" applyProtection="1">
      <alignment horizontal="right" vertical="center"/>
      <protection locked="0"/>
    </xf>
    <xf numFmtId="3" fontId="6" fillId="10" borderId="62" xfId="0" applyNumberFormat="1" applyFont="1" applyFill="1" applyBorder="1" applyAlignment="1" applyProtection="1">
      <alignment horizontal="centerContinuous" vertical="center" wrapText="1"/>
      <protection locked="0"/>
    </xf>
    <xf numFmtId="3" fontId="3" fillId="0" borderId="119" xfId="0" applyNumberFormat="1" applyFont="1" applyFill="1" applyBorder="1" applyAlignment="1" applyProtection="1">
      <alignment horizontal="right" vertical="center"/>
      <protection locked="0"/>
    </xf>
    <xf numFmtId="10" fontId="3" fillId="0" borderId="1" xfId="228" applyNumberFormat="1" applyFont="1" applyFill="1" applyBorder="1" applyAlignment="1" applyProtection="1">
      <alignment horizontal="centerContinuous" vertical="center"/>
      <protection locked="0"/>
    </xf>
    <xf numFmtId="10" fontId="3" fillId="44" borderId="1" xfId="228" applyNumberFormat="1" applyFont="1" applyFill="1" applyBorder="1" applyAlignment="1" applyProtection="1">
      <alignment horizontal="centerContinuous" vertical="center"/>
      <protection locked="0"/>
    </xf>
    <xf numFmtId="210" fontId="3" fillId="0" borderId="113" xfId="228" applyNumberFormat="1" applyFont="1" applyFill="1" applyBorder="1" applyAlignment="1" applyProtection="1">
      <alignment horizontal="centerContinuous" vertical="center"/>
      <protection locked="0"/>
    </xf>
    <xf numFmtId="3" fontId="6" fillId="45" borderId="32" xfId="11" applyNumberFormat="1" applyFont="1" applyFill="1" applyBorder="1" applyAlignment="1" applyProtection="1">
      <alignment horizontal="right"/>
      <protection hidden="1"/>
    </xf>
    <xf numFmtId="0" fontId="15" fillId="45" borderId="42" xfId="12" applyFont="1" applyFill="1" applyBorder="1" applyAlignment="1">
      <alignment horizontal="center" vertical="center" wrapText="1"/>
    </xf>
    <xf numFmtId="0" fontId="30" fillId="45" borderId="14" xfId="13" applyFont="1" applyFill="1" applyBorder="1" applyAlignment="1">
      <alignment horizontal="center" vertical="center"/>
    </xf>
    <xf numFmtId="0" fontId="29" fillId="45" borderId="6" xfId="13" applyFont="1" applyFill="1" applyBorder="1" applyAlignment="1">
      <alignment horizontal="center" vertical="center"/>
    </xf>
    <xf numFmtId="0" fontId="1" fillId="45" borderId="6" xfId="13" applyFont="1" applyFill="1" applyBorder="1" applyAlignment="1">
      <alignment horizontal="center" vertical="center"/>
    </xf>
    <xf numFmtId="175" fontId="15" fillId="45" borderId="71" xfId="7" applyNumberFormat="1" applyFont="1" applyFill="1" applyBorder="1" applyAlignment="1">
      <alignment horizontal="center" vertical="center" wrapText="1"/>
    </xf>
    <xf numFmtId="0" fontId="15" fillId="45" borderId="66" xfId="12" applyFont="1" applyFill="1" applyBorder="1" applyAlignment="1">
      <alignment horizontal="center" vertical="center" wrapText="1"/>
    </xf>
    <xf numFmtId="0" fontId="15" fillId="45" borderId="67" xfId="12" applyFont="1" applyFill="1" applyBorder="1" applyAlignment="1">
      <alignment horizontal="center" vertical="center" wrapText="1"/>
    </xf>
    <xf numFmtId="0" fontId="15" fillId="45" borderId="37" xfId="12" applyFont="1" applyFill="1" applyBorder="1" applyAlignment="1">
      <alignment horizontal="center" vertical="center"/>
    </xf>
    <xf numFmtId="0" fontId="15" fillId="45" borderId="59" xfId="12" applyFont="1" applyFill="1" applyBorder="1" applyAlignment="1">
      <alignment horizontal="center" vertical="center"/>
    </xf>
    <xf numFmtId="0" fontId="6" fillId="45" borderId="55" xfId="12" applyFont="1" applyFill="1" applyBorder="1" applyAlignment="1">
      <alignment horizontal="center" vertical="center"/>
    </xf>
    <xf numFmtId="0" fontId="15" fillId="45" borderId="70" xfId="0" applyFont="1" applyFill="1" applyBorder="1" applyAlignment="1" applyProtection="1">
      <alignment horizontal="center"/>
      <protection hidden="1"/>
    </xf>
    <xf numFmtId="0" fontId="15" fillId="45" borderId="60" xfId="0" applyFont="1" applyFill="1" applyBorder="1" applyAlignment="1" applyProtection="1">
      <alignment horizontal="center"/>
      <protection hidden="1"/>
    </xf>
    <xf numFmtId="0" fontId="15" fillId="45" borderId="7" xfId="0" applyFont="1" applyFill="1" applyBorder="1" applyAlignment="1" applyProtection="1">
      <alignment horizontal="center"/>
      <protection hidden="1"/>
    </xf>
    <xf numFmtId="0" fontId="7" fillId="45" borderId="66" xfId="0" applyFont="1" applyFill="1" applyBorder="1" applyAlignment="1" applyProtection="1">
      <alignment horizontal="center" vertical="center" wrapText="1"/>
      <protection hidden="1"/>
    </xf>
    <xf numFmtId="0" fontId="7" fillId="45" borderId="66" xfId="0" applyFont="1" applyFill="1" applyBorder="1" applyAlignment="1" applyProtection="1">
      <alignment horizontal="center" vertical="center" wrapText="1"/>
      <protection locked="0"/>
    </xf>
    <xf numFmtId="0" fontId="7" fillId="45" borderId="68" xfId="0" applyFont="1" applyFill="1" applyBorder="1" applyAlignment="1" applyProtection="1">
      <alignment horizontal="center" vertical="center" wrapText="1"/>
      <protection hidden="1"/>
    </xf>
    <xf numFmtId="0" fontId="7" fillId="45" borderId="68" xfId="12" applyFont="1" applyFill="1" applyBorder="1" applyAlignment="1">
      <alignment horizontal="center" vertical="center" wrapText="1"/>
    </xf>
    <xf numFmtId="2" fontId="7" fillId="45" borderId="68" xfId="3" applyNumberFormat="1" applyFont="1" applyFill="1" applyBorder="1" applyAlignment="1" applyProtection="1">
      <alignment horizontal="center" vertical="center"/>
      <protection locked="0"/>
    </xf>
    <xf numFmtId="2" fontId="7" fillId="45" borderId="68" xfId="0" applyNumberFormat="1" applyFont="1" applyFill="1" applyBorder="1" applyAlignment="1" applyProtection="1">
      <alignment horizontal="center" vertical="center"/>
      <protection hidden="1"/>
    </xf>
    <xf numFmtId="4" fontId="7" fillId="45" borderId="72" xfId="0" applyNumberFormat="1" applyFont="1" applyFill="1" applyBorder="1" applyAlignment="1" applyProtection="1">
      <alignment horizontal="center" vertical="center"/>
      <protection hidden="1"/>
    </xf>
    <xf numFmtId="0" fontId="61" fillId="0" borderId="60" xfId="0" applyFont="1" applyBorder="1" applyAlignment="1">
      <alignment horizontal="center"/>
    </xf>
    <xf numFmtId="0" fontId="61" fillId="0" borderId="60" xfId="0" applyFont="1" applyBorder="1" applyAlignment="1">
      <alignment horizontal="center" vertical="center"/>
    </xf>
    <xf numFmtId="0" fontId="61" fillId="0" borderId="60" xfId="0" applyFont="1" applyBorder="1" applyAlignment="1">
      <alignment horizontal="center" vertical="center" wrapText="1"/>
    </xf>
    <xf numFmtId="1" fontId="7" fillId="0" borderId="60" xfId="0" applyNumberFormat="1" applyFont="1" applyFill="1" applyBorder="1" applyAlignment="1" applyProtection="1">
      <alignment horizontal="center" vertical="center"/>
      <protection hidden="1"/>
    </xf>
    <xf numFmtId="3" fontId="7" fillId="0" borderId="60" xfId="0" applyNumberFormat="1" applyFont="1" applyBorder="1" applyAlignment="1">
      <alignment horizontal="center" vertical="center"/>
    </xf>
    <xf numFmtId="0" fontId="7" fillId="0" borderId="60" xfId="0" applyFont="1" applyBorder="1" applyAlignment="1" applyProtection="1">
      <alignment horizontal="center" vertical="center"/>
      <protection hidden="1"/>
    </xf>
    <xf numFmtId="0" fontId="61" fillId="43" borderId="60" xfId="0" applyFont="1" applyFill="1" applyBorder="1" applyAlignment="1">
      <alignment horizontal="center" vertical="center"/>
    </xf>
    <xf numFmtId="0" fontId="61" fillId="43" borderId="60" xfId="0" applyFont="1" applyFill="1" applyBorder="1" applyAlignment="1">
      <alignment horizontal="center" vertical="center" wrapText="1"/>
    </xf>
    <xf numFmtId="1" fontId="7" fillId="43" borderId="60" xfId="0" applyNumberFormat="1" applyFont="1" applyFill="1" applyBorder="1" applyAlignment="1" applyProtection="1">
      <alignment horizontal="center" vertical="center"/>
      <protection hidden="1"/>
    </xf>
    <xf numFmtId="0" fontId="61" fillId="43" borderId="60" xfId="0" applyFont="1" applyFill="1" applyBorder="1" applyAlignment="1">
      <alignment wrapText="1"/>
    </xf>
    <xf numFmtId="1" fontId="62" fillId="48" borderId="60" xfId="0" applyNumberFormat="1" applyFont="1" applyFill="1" applyBorder="1" applyAlignment="1" applyProtection="1">
      <alignment horizontal="center" vertical="center"/>
      <protection hidden="1"/>
    </xf>
    <xf numFmtId="0" fontId="6" fillId="45" borderId="23" xfId="11" applyFont="1" applyFill="1" applyBorder="1" applyAlignment="1" applyProtection="1">
      <alignment horizontal="center" vertical="center" wrapText="1"/>
      <protection hidden="1"/>
    </xf>
    <xf numFmtId="0" fontId="6" fillId="45" borderId="25" xfId="11" applyFont="1" applyFill="1" applyBorder="1" applyAlignment="1" applyProtection="1">
      <alignment horizontal="center" vertical="center" wrapText="1"/>
      <protection hidden="1"/>
    </xf>
    <xf numFmtId="0" fontId="6" fillId="45" borderId="9" xfId="11" applyFont="1" applyFill="1" applyBorder="1" applyAlignment="1" applyProtection="1">
      <alignment horizontal="center" vertical="center" wrapText="1"/>
      <protection hidden="1"/>
    </xf>
    <xf numFmtId="0" fontId="6" fillId="45" borderId="10" xfId="11" applyFont="1" applyFill="1" applyBorder="1" applyAlignment="1" applyProtection="1">
      <alignment horizontal="center" vertical="center" wrapText="1"/>
      <protection hidden="1"/>
    </xf>
    <xf numFmtId="0" fontId="6" fillId="45" borderId="11" xfId="11" applyFont="1" applyFill="1" applyBorder="1" applyAlignment="1" applyProtection="1">
      <alignment horizontal="center" vertical="center" wrapText="1"/>
      <protection hidden="1"/>
    </xf>
    <xf numFmtId="0" fontId="6" fillId="45" borderId="2" xfId="11" applyFont="1" applyFill="1" applyBorder="1" applyAlignment="1" applyProtection="1">
      <alignment horizontal="center" vertical="center" wrapText="1"/>
      <protection hidden="1"/>
    </xf>
    <xf numFmtId="1" fontId="6" fillId="0" borderId="0" xfId="12" applyNumberFormat="1" applyFont="1" applyAlignment="1">
      <alignment horizontal="center" vertical="center" wrapText="1"/>
    </xf>
    <xf numFmtId="0" fontId="3" fillId="0" borderId="11" xfId="0" applyFont="1" applyBorder="1" applyProtection="1">
      <protection hidden="1"/>
    </xf>
    <xf numFmtId="0" fontId="10" fillId="0" borderId="12" xfId="0" applyFont="1" applyBorder="1" applyProtection="1">
      <protection hidden="1"/>
    </xf>
    <xf numFmtId="0" fontId="6" fillId="45" borderId="75" xfId="0" applyFont="1" applyFill="1" applyBorder="1" applyAlignment="1" applyProtection="1">
      <alignment horizontal="center" vertical="center" wrapText="1"/>
      <protection hidden="1"/>
    </xf>
    <xf numFmtId="0" fontId="6" fillId="45" borderId="76" xfId="0" applyFont="1" applyFill="1" applyBorder="1" applyAlignment="1" applyProtection="1">
      <alignment horizontal="center" vertical="center" wrapText="1"/>
      <protection hidden="1"/>
    </xf>
    <xf numFmtId="0" fontId="6" fillId="45" borderId="78" xfId="0" applyFont="1" applyFill="1" applyBorder="1" applyAlignment="1" applyProtection="1">
      <alignment horizontal="center" vertical="center" wrapText="1"/>
      <protection hidden="1"/>
    </xf>
    <xf numFmtId="0" fontId="6" fillId="45" borderId="79" xfId="0" applyFont="1" applyFill="1" applyBorder="1" applyAlignment="1" applyProtection="1">
      <alignment horizontal="center" vertical="center" wrapText="1"/>
      <protection hidden="1"/>
    </xf>
    <xf numFmtId="0" fontId="6" fillId="45" borderId="74" xfId="0" applyFont="1" applyFill="1" applyBorder="1" applyAlignment="1" applyProtection="1">
      <alignment horizontal="center" vertical="center" wrapText="1"/>
      <protection hidden="1"/>
    </xf>
    <xf numFmtId="0" fontId="6" fillId="45" borderId="37" xfId="0" applyFont="1" applyFill="1" applyBorder="1" applyAlignment="1" applyProtection="1">
      <alignment horizontal="center" vertical="center" wrapText="1"/>
      <protection hidden="1"/>
    </xf>
    <xf numFmtId="0" fontId="6" fillId="45" borderId="77" xfId="0" applyFont="1" applyFill="1" applyBorder="1" applyAlignment="1" applyProtection="1">
      <alignment horizontal="center" vertical="center" wrapText="1"/>
      <protection hidden="1"/>
    </xf>
    <xf numFmtId="0" fontId="6" fillId="45" borderId="117" xfId="0" applyFont="1" applyFill="1" applyBorder="1" applyAlignment="1" applyProtection="1">
      <alignment horizontal="center" vertical="center" wrapText="1"/>
      <protection hidden="1"/>
    </xf>
    <xf numFmtId="0" fontId="6" fillId="0" borderId="0" xfId="12" applyFont="1" applyAlignment="1">
      <alignment horizontal="center" vertical="center"/>
    </xf>
    <xf numFmtId="0" fontId="6" fillId="0" borderId="12" xfId="12" applyFont="1" applyBorder="1" applyAlignment="1">
      <alignment horizontal="center" vertical="center"/>
    </xf>
    <xf numFmtId="0" fontId="6" fillId="45" borderId="73" xfId="0" applyFont="1" applyFill="1" applyBorder="1" applyAlignment="1" applyProtection="1">
      <alignment horizontal="center" vertical="center" wrapText="1"/>
      <protection locked="0"/>
    </xf>
    <xf numFmtId="0" fontId="6" fillId="45" borderId="124" xfId="0" applyFont="1" applyFill="1" applyBorder="1" applyAlignment="1" applyProtection="1">
      <alignment horizontal="center" vertical="center" wrapText="1"/>
      <protection locked="0"/>
    </xf>
    <xf numFmtId="1" fontId="4" fillId="0" borderId="0" xfId="12" applyNumberFormat="1" applyFont="1" applyAlignment="1">
      <alignment horizontal="center" vertical="center" wrapText="1"/>
    </xf>
    <xf numFmtId="0" fontId="9" fillId="0" borderId="23" xfId="0" applyFont="1" applyFill="1" applyBorder="1" applyAlignment="1" applyProtection="1">
      <alignment horizontal="justify" vertical="center" wrapText="1"/>
      <protection hidden="1"/>
    </xf>
    <xf numFmtId="0" fontId="9" fillId="0" borderId="24" xfId="0" applyFont="1" applyFill="1" applyBorder="1" applyAlignment="1" applyProtection="1">
      <alignment horizontal="justify" vertical="center" wrapText="1"/>
      <protection hidden="1"/>
    </xf>
    <xf numFmtId="0" fontId="9" fillId="0" borderId="25" xfId="0" applyFont="1" applyFill="1" applyBorder="1" applyAlignment="1" applyProtection="1">
      <alignment horizontal="justify" vertical="center" wrapText="1"/>
      <protection hidden="1"/>
    </xf>
    <xf numFmtId="0" fontId="9" fillId="0" borderId="9" xfId="0" applyFont="1" applyFill="1" applyBorder="1" applyAlignment="1" applyProtection="1">
      <alignment horizontal="justify" vertical="center" wrapText="1"/>
      <protection hidden="1"/>
    </xf>
    <xf numFmtId="0" fontId="9" fillId="0" borderId="0" xfId="0" applyFont="1" applyFill="1" applyBorder="1" applyAlignment="1" applyProtection="1">
      <alignment horizontal="justify" vertical="center" wrapText="1"/>
      <protection hidden="1"/>
    </xf>
    <xf numFmtId="0" fontId="9" fillId="0" borderId="10" xfId="0" applyFont="1" applyFill="1" applyBorder="1" applyAlignment="1" applyProtection="1">
      <alignment horizontal="justify" vertical="center" wrapText="1"/>
      <protection hidden="1"/>
    </xf>
    <xf numFmtId="0" fontId="9" fillId="0" borderId="11" xfId="0" applyFont="1" applyFill="1" applyBorder="1" applyAlignment="1" applyProtection="1">
      <alignment horizontal="justify" vertical="center" wrapText="1"/>
      <protection hidden="1"/>
    </xf>
    <xf numFmtId="0" fontId="9" fillId="0" borderId="12" xfId="0" applyFont="1" applyFill="1" applyBorder="1" applyAlignment="1" applyProtection="1">
      <alignment horizontal="justify" vertical="center" wrapText="1"/>
      <protection hidden="1"/>
    </xf>
    <xf numFmtId="0" fontId="9" fillId="0" borderId="2" xfId="0" applyFont="1" applyFill="1" applyBorder="1" applyAlignment="1" applyProtection="1">
      <alignment horizontal="justify" vertical="center" wrapText="1"/>
      <protection hidden="1"/>
    </xf>
    <xf numFmtId="0" fontId="6" fillId="0" borderId="53" xfId="0" applyFont="1" applyFill="1" applyBorder="1" applyAlignment="1" applyProtection="1">
      <alignment horizontal="right" vertical="center" wrapText="1"/>
      <protection locked="0"/>
    </xf>
    <xf numFmtId="0" fontId="6" fillId="0" borderId="54" xfId="0" applyFont="1" applyFill="1" applyBorder="1" applyAlignment="1" applyProtection="1">
      <alignment horizontal="right" vertical="center" wrapText="1"/>
      <protection locked="0"/>
    </xf>
    <xf numFmtId="0" fontId="6" fillId="0" borderId="36" xfId="0" applyFont="1" applyFill="1" applyBorder="1" applyAlignment="1" applyProtection="1">
      <alignment horizontal="right" vertical="center" wrapText="1"/>
      <protection locked="0"/>
    </xf>
    <xf numFmtId="1" fontId="4" fillId="0" borderId="81" xfId="0" quotePrefix="1" applyNumberFormat="1" applyFont="1" applyFill="1" applyBorder="1" applyAlignment="1" applyProtection="1">
      <alignment horizontal="center" vertical="center" wrapText="1"/>
      <protection hidden="1"/>
    </xf>
    <xf numFmtId="1" fontId="4" fillId="0" borderId="82" xfId="0" quotePrefix="1" applyNumberFormat="1" applyFont="1" applyFill="1" applyBorder="1" applyAlignment="1" applyProtection="1">
      <alignment horizontal="center" vertical="center" wrapText="1"/>
      <protection hidden="1"/>
    </xf>
    <xf numFmtId="1" fontId="4" fillId="0" borderId="83" xfId="0" quotePrefix="1" applyNumberFormat="1" applyFont="1" applyFill="1" applyBorder="1" applyAlignment="1" applyProtection="1">
      <alignment horizontal="center" vertical="center" wrapText="1"/>
      <protection hidden="1"/>
    </xf>
    <xf numFmtId="4" fontId="8" fillId="4" borderId="84" xfId="0" applyNumberFormat="1" applyFont="1" applyFill="1" applyBorder="1" applyAlignment="1" applyProtection="1">
      <alignment horizontal="center" vertical="center" wrapText="1"/>
      <protection hidden="1"/>
    </xf>
    <xf numFmtId="4" fontId="8" fillId="4" borderId="85" xfId="0" applyNumberFormat="1" applyFont="1" applyFill="1" applyBorder="1" applyAlignment="1" applyProtection="1">
      <alignment horizontal="center" vertical="center" wrapText="1"/>
      <protection hidden="1"/>
    </xf>
    <xf numFmtId="4" fontId="8" fillId="4" borderId="28" xfId="0" applyNumberFormat="1" applyFont="1" applyFill="1" applyBorder="1" applyAlignment="1" applyProtection="1">
      <alignment horizontal="center" vertical="center" wrapText="1"/>
      <protection hidden="1"/>
    </xf>
    <xf numFmtId="0" fontId="26" fillId="3" borderId="0" xfId="0" applyFont="1" applyFill="1" applyAlignment="1" applyProtection="1">
      <alignment horizontal="center" vertical="center" wrapText="1"/>
      <protection hidden="1"/>
    </xf>
    <xf numFmtId="0" fontId="5" fillId="0" borderId="3" xfId="0" applyFont="1" applyFill="1" applyBorder="1" applyAlignment="1" applyProtection="1">
      <alignment horizontal="center" vertical="center"/>
      <protection hidden="1"/>
    </xf>
    <xf numFmtId="1" fontId="4" fillId="0" borderId="0" xfId="0" quotePrefix="1" applyNumberFormat="1" applyFont="1" applyFill="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3" fontId="5" fillId="0" borderId="80" xfId="0" applyNumberFormat="1" applyFont="1" applyFill="1" applyBorder="1" applyAlignment="1" applyProtection="1">
      <alignment horizontal="center" vertical="center"/>
      <protection hidden="1"/>
    </xf>
    <xf numFmtId="0" fontId="6" fillId="10" borderId="53" xfId="0" quotePrefix="1" applyFont="1" applyFill="1" applyBorder="1" applyAlignment="1" applyProtection="1">
      <alignment horizontal="center" vertical="center"/>
      <protection locked="0"/>
    </xf>
    <xf numFmtId="0" fontId="6" fillId="10" borderId="54" xfId="0" quotePrefix="1" applyFont="1" applyFill="1" applyBorder="1" applyAlignment="1" applyProtection="1">
      <alignment horizontal="center" vertical="center"/>
      <protection locked="0"/>
    </xf>
    <xf numFmtId="0" fontId="6" fillId="10" borderId="36" xfId="0" quotePrefix="1" applyFont="1" applyFill="1" applyBorder="1" applyAlignment="1" applyProtection="1">
      <alignment horizontal="center" vertical="center"/>
      <protection locked="0"/>
    </xf>
    <xf numFmtId="0" fontId="6" fillId="44" borderId="53" xfId="0" quotePrefix="1" applyFont="1" applyFill="1" applyBorder="1" applyAlignment="1" applyProtection="1">
      <alignment horizontal="center" vertical="center"/>
      <protection locked="0"/>
    </xf>
    <xf numFmtId="0" fontId="6" fillId="44" borderId="54" xfId="0" quotePrefix="1" applyFont="1" applyFill="1" applyBorder="1" applyAlignment="1" applyProtection="1">
      <alignment horizontal="center" vertical="center"/>
      <protection locked="0"/>
    </xf>
    <xf numFmtId="0" fontId="6" fillId="44" borderId="36" xfId="0" quotePrefix="1" applyFont="1" applyFill="1" applyBorder="1" applyAlignment="1" applyProtection="1">
      <alignment horizontal="center" vertical="center"/>
      <protection locked="0"/>
    </xf>
    <xf numFmtId="4" fontId="6" fillId="2" borderId="86" xfId="12" applyNumberFormat="1" applyFont="1" applyFill="1" applyBorder="1" applyAlignment="1">
      <alignment horizontal="right" vertical="center" wrapText="1"/>
    </xf>
    <xf numFmtId="4" fontId="6" fillId="2" borderId="60" xfId="12" applyNumberFormat="1" applyFont="1" applyFill="1" applyBorder="1" applyAlignment="1">
      <alignment horizontal="right" vertical="center" wrapText="1"/>
    </xf>
    <xf numFmtId="0" fontId="15" fillId="45" borderId="86" xfId="12" applyFont="1" applyFill="1" applyBorder="1" applyAlignment="1">
      <alignment horizontal="center" vertical="center" wrapText="1"/>
    </xf>
    <xf numFmtId="0" fontId="15" fillId="45" borderId="87" xfId="12" applyFont="1" applyFill="1" applyBorder="1" applyAlignment="1">
      <alignment horizontal="center" vertical="center" wrapText="1"/>
    </xf>
    <xf numFmtId="0" fontId="15" fillId="45" borderId="60" xfId="12" applyFont="1" applyFill="1" applyBorder="1" applyAlignment="1">
      <alignment horizontal="center" vertical="center" wrapText="1"/>
    </xf>
    <xf numFmtId="0" fontId="15" fillId="45" borderId="13" xfId="12" applyFont="1" applyFill="1" applyBorder="1" applyAlignment="1">
      <alignment horizontal="center" vertical="center" wrapText="1"/>
    </xf>
    <xf numFmtId="0" fontId="15" fillId="45" borderId="60" xfId="12" applyFont="1" applyFill="1" applyBorder="1" applyAlignment="1">
      <alignment horizontal="center" vertical="center"/>
    </xf>
    <xf numFmtId="0" fontId="15" fillId="45" borderId="13" xfId="12" applyFont="1" applyFill="1" applyBorder="1" applyAlignment="1">
      <alignment horizontal="center" vertical="center"/>
    </xf>
    <xf numFmtId="4" fontId="6" fillId="2" borderId="87" xfId="12" applyNumberFormat="1" applyFont="1" applyFill="1" applyBorder="1" applyAlignment="1">
      <alignment horizontal="right" vertical="center" wrapText="1"/>
    </xf>
    <xf numFmtId="4" fontId="6" fillId="2" borderId="13" xfId="12" applyNumberFormat="1" applyFont="1" applyFill="1" applyBorder="1" applyAlignment="1">
      <alignment horizontal="right" vertical="center" wrapText="1"/>
    </xf>
    <xf numFmtId="0" fontId="15" fillId="45" borderId="62" xfId="12" applyFont="1" applyFill="1" applyBorder="1" applyAlignment="1">
      <alignment horizontal="center" vertical="center" wrapText="1"/>
    </xf>
    <xf numFmtId="0" fontId="15" fillId="45" borderId="63" xfId="12" applyFont="1" applyFill="1" applyBorder="1" applyAlignment="1">
      <alignment horizontal="center" vertical="center" wrapText="1"/>
    </xf>
    <xf numFmtId="0" fontId="15" fillId="45" borderId="64" xfId="12" applyFont="1" applyFill="1" applyBorder="1" applyAlignment="1">
      <alignment horizontal="center" vertical="center" wrapText="1"/>
    </xf>
    <xf numFmtId="0" fontId="6" fillId="2" borderId="53" xfId="12" applyFont="1" applyFill="1" applyBorder="1" applyAlignment="1">
      <alignment horizontal="right" vertical="center"/>
    </xf>
    <xf numFmtId="0" fontId="6" fillId="2" borderId="54" xfId="12" applyFont="1" applyFill="1" applyBorder="1" applyAlignment="1">
      <alignment horizontal="right" vertical="center"/>
    </xf>
    <xf numFmtId="0" fontId="6" fillId="2" borderId="36" xfId="12" applyFont="1" applyFill="1" applyBorder="1" applyAlignment="1">
      <alignment horizontal="right" vertical="center"/>
    </xf>
    <xf numFmtId="0" fontId="15" fillId="45" borderId="43" xfId="12" applyFont="1" applyFill="1" applyBorder="1" applyAlignment="1">
      <alignment horizontal="center" vertical="center" wrapText="1"/>
    </xf>
    <xf numFmtId="0" fontId="15" fillId="45" borderId="44" xfId="12" applyFont="1" applyFill="1" applyBorder="1" applyAlignment="1">
      <alignment horizontal="center" vertical="center" wrapText="1"/>
    </xf>
    <xf numFmtId="0" fontId="6" fillId="2" borderId="56" xfId="12" applyFont="1" applyFill="1" applyBorder="1" applyAlignment="1">
      <alignment horizontal="right" vertical="center"/>
    </xf>
    <xf numFmtId="0" fontId="6" fillId="2" borderId="57" xfId="12" applyFont="1" applyFill="1" applyBorder="1" applyAlignment="1">
      <alignment horizontal="right" vertical="center"/>
    </xf>
    <xf numFmtId="0" fontId="6" fillId="2" borderId="92" xfId="12" applyFont="1" applyFill="1" applyBorder="1" applyAlignment="1">
      <alignment horizontal="right" vertical="center"/>
    </xf>
    <xf numFmtId="0" fontId="6" fillId="2" borderId="57" xfId="12" applyFont="1" applyFill="1" applyBorder="1" applyAlignment="1">
      <alignment horizontal="center" vertical="center"/>
    </xf>
    <xf numFmtId="0" fontId="6" fillId="2" borderId="94" xfId="12" applyFont="1" applyFill="1" applyBorder="1" applyAlignment="1">
      <alignment horizontal="center" vertical="center"/>
    </xf>
    <xf numFmtId="0" fontId="15" fillId="45" borderId="90" xfId="12" applyFont="1" applyFill="1" applyBorder="1" applyAlignment="1">
      <alignment horizontal="center" vertical="center" wrapText="1"/>
    </xf>
    <xf numFmtId="0" fontId="15" fillId="45" borderId="91" xfId="12" applyFont="1" applyFill="1" applyBorder="1" applyAlignment="1">
      <alignment horizontal="center" vertical="center" wrapText="1"/>
    </xf>
    <xf numFmtId="0" fontId="15" fillId="45" borderId="52" xfId="12" applyFont="1" applyFill="1" applyBorder="1" applyAlignment="1">
      <alignment horizontal="center" vertical="center" wrapText="1"/>
    </xf>
    <xf numFmtId="0" fontId="6" fillId="45" borderId="86" xfId="12" applyFont="1" applyFill="1" applyBorder="1" applyAlignment="1">
      <alignment horizontal="center" vertical="center" wrapText="1"/>
    </xf>
    <xf numFmtId="0" fontId="6" fillId="45" borderId="60" xfId="12" applyFont="1" applyFill="1" applyBorder="1" applyAlignment="1">
      <alignment horizontal="center" vertical="center" wrapText="1"/>
    </xf>
    <xf numFmtId="0" fontId="13" fillId="2" borderId="66" xfId="12" applyFont="1" applyFill="1" applyBorder="1" applyAlignment="1">
      <alignment horizontal="center" vertical="center" wrapText="1"/>
    </xf>
    <xf numFmtId="0" fontId="13" fillId="2" borderId="89" xfId="12" applyFont="1" applyFill="1" applyBorder="1" applyAlignment="1">
      <alignment horizontal="center" vertical="center" wrapText="1"/>
    </xf>
    <xf numFmtId="0" fontId="15" fillId="45" borderId="50" xfId="12" applyFont="1" applyFill="1" applyBorder="1" applyAlignment="1">
      <alignment horizontal="left" vertical="center" wrapText="1"/>
    </xf>
    <xf numFmtId="0" fontId="15" fillId="45" borderId="51" xfId="12" applyFont="1" applyFill="1" applyBorder="1" applyAlignment="1">
      <alignment horizontal="left" vertical="center" wrapText="1"/>
    </xf>
    <xf numFmtId="0" fontId="15" fillId="45" borderId="93" xfId="12" applyFont="1" applyFill="1" applyBorder="1" applyAlignment="1">
      <alignment horizontal="left" vertical="center" wrapText="1"/>
    </xf>
    <xf numFmtId="0" fontId="15" fillId="45" borderId="53" xfId="12" applyFont="1" applyFill="1" applyBorder="1" applyAlignment="1">
      <alignment horizontal="left" vertical="center" wrapText="1"/>
    </xf>
    <xf numFmtId="0" fontId="15" fillId="45" borderId="54" xfId="12" applyFont="1" applyFill="1" applyBorder="1" applyAlignment="1">
      <alignment horizontal="left" vertical="center" wrapText="1"/>
    </xf>
    <xf numFmtId="0" fontId="15" fillId="45" borderId="65" xfId="12" applyFont="1" applyFill="1" applyBorder="1" applyAlignment="1">
      <alignment horizontal="left" vertical="center" wrapText="1"/>
    </xf>
    <xf numFmtId="175" fontId="15" fillId="45" borderId="44" xfId="7" applyNumberFormat="1" applyFont="1" applyFill="1" applyBorder="1" applyAlignment="1">
      <alignment horizontal="center" vertical="center" wrapText="1"/>
    </xf>
    <xf numFmtId="0" fontId="13" fillId="2" borderId="30" xfId="12" applyFont="1" applyFill="1" applyBorder="1" applyAlignment="1">
      <alignment horizontal="center" vertical="center" wrapText="1"/>
    </xf>
    <xf numFmtId="0" fontId="13" fillId="2" borderId="88" xfId="12" applyFont="1" applyFill="1" applyBorder="1" applyAlignment="1">
      <alignment horizontal="center" vertical="center" wrapText="1"/>
    </xf>
    <xf numFmtId="0" fontId="6" fillId="0" borderId="0" xfId="12" applyFont="1" applyBorder="1" applyAlignment="1">
      <alignment horizontal="center" vertical="center" wrapText="1"/>
    </xf>
    <xf numFmtId="0" fontId="7" fillId="45" borderId="74" xfId="0" applyFont="1" applyFill="1" applyBorder="1" applyAlignment="1" applyProtection="1">
      <alignment horizontal="center" vertical="center" wrapText="1"/>
      <protection hidden="1"/>
    </xf>
    <xf numFmtId="0" fontId="7" fillId="45" borderId="89" xfId="0" applyFont="1" applyFill="1" applyBorder="1" applyAlignment="1" applyProtection="1">
      <alignment horizontal="center" vertical="center" wrapText="1"/>
      <protection hidden="1"/>
    </xf>
    <xf numFmtId="0" fontId="7" fillId="45" borderId="68" xfId="0" applyFont="1" applyFill="1" applyBorder="1" applyAlignment="1" applyProtection="1">
      <alignment horizontal="center" vertical="center" wrapText="1"/>
      <protection hidden="1"/>
    </xf>
    <xf numFmtId="0" fontId="7" fillId="45" borderId="78" xfId="0" applyFont="1" applyFill="1" applyBorder="1" applyAlignment="1" applyProtection="1">
      <alignment horizontal="center" vertical="center" wrapText="1"/>
      <protection hidden="1"/>
    </xf>
    <xf numFmtId="0" fontId="7" fillId="45" borderId="96" xfId="0" applyFont="1" applyFill="1" applyBorder="1" applyAlignment="1" applyProtection="1">
      <alignment horizontal="center" vertical="center" wrapText="1"/>
      <protection hidden="1"/>
    </xf>
    <xf numFmtId="0" fontId="7" fillId="45" borderId="97" xfId="0" applyFont="1" applyFill="1" applyBorder="1" applyAlignment="1" applyProtection="1">
      <alignment horizontal="center" vertical="center" wrapText="1"/>
      <protection hidden="1"/>
    </xf>
    <xf numFmtId="171" fontId="10" fillId="0" borderId="0" xfId="0" applyNumberFormat="1" applyFont="1" applyProtection="1">
      <protection hidden="1"/>
    </xf>
    <xf numFmtId="0" fontId="10" fillId="0" borderId="0" xfId="0" applyFont="1" applyAlignment="1" applyProtection="1">
      <alignment horizontal="center" vertical="center" textRotation="90"/>
      <protection hidden="1"/>
    </xf>
    <xf numFmtId="0" fontId="15" fillId="45" borderId="14" xfId="0" applyFont="1" applyFill="1" applyBorder="1" applyAlignment="1" applyProtection="1">
      <alignment horizontal="center" vertical="center"/>
      <protection hidden="1"/>
    </xf>
    <xf numFmtId="0" fontId="15" fillId="45" borderId="98" xfId="0" applyFont="1" applyFill="1" applyBorder="1" applyAlignment="1" applyProtection="1">
      <alignment horizontal="center" vertical="center"/>
      <protection hidden="1"/>
    </xf>
    <xf numFmtId="0" fontId="15" fillId="45" borderId="73" xfId="0" applyFont="1" applyFill="1" applyBorder="1" applyAlignment="1" applyProtection="1">
      <alignment horizontal="center" vertical="center"/>
      <protection hidden="1"/>
    </xf>
    <xf numFmtId="0" fontId="15" fillId="45" borderId="6" xfId="0" applyFont="1" applyFill="1" applyBorder="1" applyAlignment="1" applyProtection="1">
      <alignment horizontal="center" vertical="center"/>
      <protection hidden="1"/>
    </xf>
    <xf numFmtId="169" fontId="59" fillId="45" borderId="70" xfId="0" applyNumberFormat="1" applyFont="1" applyFill="1" applyBorder="1" applyAlignment="1" applyProtection="1">
      <alignment horizontal="center" vertical="center"/>
      <protection hidden="1"/>
    </xf>
    <xf numFmtId="169" fontId="59" fillId="45" borderId="60" xfId="0" applyNumberFormat="1" applyFont="1" applyFill="1" applyBorder="1" applyAlignment="1" applyProtection="1">
      <alignment horizontal="center" vertical="center"/>
      <protection hidden="1"/>
    </xf>
    <xf numFmtId="169" fontId="59" fillId="45" borderId="105" xfId="0" applyNumberFormat="1" applyFont="1" applyFill="1" applyBorder="1" applyAlignment="1" applyProtection="1">
      <alignment horizontal="center" vertical="center"/>
      <protection hidden="1"/>
    </xf>
    <xf numFmtId="169" fontId="59" fillId="45" borderId="7" xfId="0" applyNumberFormat="1" applyFont="1" applyFill="1" applyBorder="1" applyAlignment="1" applyProtection="1">
      <alignment horizontal="center" vertical="center"/>
      <protection hidden="1"/>
    </xf>
    <xf numFmtId="0" fontId="7" fillId="45" borderId="74" xfId="0" applyFont="1" applyFill="1" applyBorder="1" applyAlignment="1" applyProtection="1">
      <alignment horizontal="center" vertical="center" wrapText="1"/>
      <protection locked="0"/>
    </xf>
    <xf numFmtId="0" fontId="7" fillId="45" borderId="77" xfId="0" applyFont="1" applyFill="1" applyBorder="1" applyAlignment="1" applyProtection="1">
      <alignment horizontal="center" vertical="center" wrapText="1"/>
      <protection hidden="1"/>
    </xf>
    <xf numFmtId="0" fontId="7" fillId="45" borderId="95" xfId="0" applyFont="1" applyFill="1" applyBorder="1" applyAlignment="1" applyProtection="1">
      <alignment horizontal="center" vertical="center" wrapText="1"/>
      <protection hidden="1"/>
    </xf>
    <xf numFmtId="0" fontId="7" fillId="45" borderId="74" xfId="12" applyFont="1" applyFill="1" applyBorder="1" applyAlignment="1">
      <alignment horizontal="center" vertical="center" wrapText="1"/>
    </xf>
    <xf numFmtId="0" fontId="7" fillId="45" borderId="89" xfId="12" applyFont="1" applyFill="1" applyBorder="1" applyAlignment="1">
      <alignment horizontal="center" vertical="center" wrapText="1"/>
    </xf>
    <xf numFmtId="0" fontId="64" fillId="49" borderId="90" xfId="0" applyFont="1" applyFill="1" applyBorder="1" applyAlignment="1">
      <alignment horizontal="center" vertical="center" wrapText="1"/>
    </xf>
    <xf numFmtId="0" fontId="64" fillId="49" borderId="91" xfId="0" applyFont="1" applyFill="1" applyBorder="1" applyAlignment="1">
      <alignment horizontal="center" vertical="center" wrapText="1"/>
    </xf>
    <xf numFmtId="0" fontId="64" fillId="49" borderId="91" xfId="0" applyFont="1" applyFill="1" applyBorder="1" applyAlignment="1">
      <alignment horizontal="center" vertical="center"/>
    </xf>
    <xf numFmtId="0" fontId="64" fillId="49" borderId="52" xfId="0" applyFont="1" applyFill="1" applyBorder="1" applyAlignment="1">
      <alignment horizontal="center" vertical="center" wrapText="1"/>
    </xf>
    <xf numFmtId="0" fontId="65" fillId="0" borderId="60" xfId="0" applyFont="1" applyBorder="1" applyAlignment="1">
      <alignment vertical="center" wrapText="1"/>
    </xf>
    <xf numFmtId="0" fontId="65" fillId="0" borderId="86" xfId="0" applyFont="1" applyBorder="1" applyAlignment="1">
      <alignment horizontal="center" vertical="center"/>
    </xf>
    <xf numFmtId="0" fontId="64" fillId="0" borderId="60" xfId="0" applyFont="1" applyBorder="1" applyAlignment="1">
      <alignment horizontal="center" vertical="center" wrapText="1"/>
    </xf>
    <xf numFmtId="0" fontId="64" fillId="0" borderId="60" xfId="0" applyFont="1" applyBorder="1" applyAlignment="1">
      <alignment horizontal="center" vertical="center" wrapText="1"/>
    </xf>
    <xf numFmtId="0" fontId="65" fillId="0" borderId="87" xfId="0" applyFont="1" applyBorder="1" applyAlignment="1">
      <alignment horizontal="center" vertical="center"/>
    </xf>
    <xf numFmtId="0" fontId="65" fillId="0" borderId="13" xfId="0" applyFont="1" applyBorder="1" applyAlignment="1">
      <alignment vertical="center" wrapText="1"/>
    </xf>
    <xf numFmtId="0" fontId="64" fillId="0" borderId="55" xfId="0" applyFont="1" applyBorder="1" applyAlignment="1">
      <alignment horizontal="center" vertical="center" wrapText="1"/>
    </xf>
    <xf numFmtId="0" fontId="64" fillId="0" borderId="13" xfId="0" applyFont="1" applyBorder="1" applyAlignment="1">
      <alignment horizontal="center" vertical="center" wrapText="1"/>
    </xf>
    <xf numFmtId="0" fontId="64" fillId="0" borderId="58" xfId="0" applyFont="1" applyBorder="1" applyAlignment="1">
      <alignment horizontal="center" vertical="center" wrapText="1"/>
    </xf>
    <xf numFmtId="0" fontId="63" fillId="49" borderId="47" xfId="0" applyFont="1" applyFill="1" applyBorder="1" applyAlignment="1">
      <alignment horizontal="center" vertical="center"/>
    </xf>
    <xf numFmtId="0" fontId="63" fillId="49" borderId="5" xfId="0" applyFont="1" applyFill="1" applyBorder="1" applyAlignment="1">
      <alignment horizontal="center" vertical="center"/>
    </xf>
    <xf numFmtId="0" fontId="63" fillId="49" borderId="38" xfId="0" applyFont="1" applyFill="1" applyBorder="1" applyAlignment="1">
      <alignment horizontal="center" vertical="center"/>
    </xf>
    <xf numFmtId="0" fontId="64" fillId="49" borderId="60" xfId="0" applyFont="1" applyFill="1" applyBorder="1" applyAlignment="1">
      <alignment horizontal="center" vertical="center" wrapText="1"/>
    </xf>
    <xf numFmtId="0" fontId="64" fillId="49" borderId="60" xfId="0" applyFont="1" applyFill="1" applyBorder="1" applyAlignment="1">
      <alignment horizontal="center" vertical="center" wrapText="1"/>
    </xf>
    <xf numFmtId="0" fontId="64" fillId="0" borderId="60" xfId="0" applyFont="1" applyBorder="1" applyAlignment="1">
      <alignment horizontal="center" vertical="center"/>
    </xf>
    <xf numFmtId="0" fontId="64" fillId="49" borderId="86" xfId="0" applyFont="1" applyFill="1" applyBorder="1" applyAlignment="1">
      <alignment horizontal="center" vertical="center" wrapText="1"/>
    </xf>
    <xf numFmtId="0" fontId="64" fillId="49" borderId="55" xfId="0" applyFont="1" applyFill="1" applyBorder="1" applyAlignment="1">
      <alignment horizontal="center" vertical="center" wrapText="1"/>
    </xf>
    <xf numFmtId="0" fontId="64" fillId="0" borderId="13" xfId="0" applyFont="1" applyBorder="1" applyAlignment="1">
      <alignment horizontal="center" vertical="center" wrapText="1"/>
    </xf>
    <xf numFmtId="0" fontId="15" fillId="45" borderId="105" xfId="0" applyFont="1" applyFill="1" applyBorder="1" applyAlignment="1" applyProtection="1">
      <alignment horizontal="center" wrapText="1"/>
      <protection hidden="1"/>
    </xf>
    <xf numFmtId="1" fontId="66" fillId="0" borderId="60" xfId="0" applyNumberFormat="1" applyFont="1" applyFill="1" applyBorder="1" applyAlignment="1" applyProtection="1">
      <alignment horizontal="center" vertical="center"/>
      <protection hidden="1"/>
    </xf>
    <xf numFmtId="0" fontId="67" fillId="0" borderId="60" xfId="0" applyFont="1" applyBorder="1" applyAlignment="1">
      <alignment horizontal="center" vertical="center" wrapText="1"/>
    </xf>
    <xf numFmtId="3" fontId="66" fillId="0" borderId="60" xfId="0" applyNumberFormat="1" applyFont="1" applyBorder="1" applyAlignment="1">
      <alignment horizontal="center" vertical="center"/>
    </xf>
    <xf numFmtId="0" fontId="66" fillId="0" borderId="60" xfId="0" applyFont="1" applyBorder="1" applyAlignment="1" applyProtection="1">
      <alignment horizontal="center" vertical="center"/>
      <protection hidden="1"/>
    </xf>
    <xf numFmtId="166" fontId="21" fillId="0" borderId="0" xfId="3" applyFont="1" applyAlignment="1" applyProtection="1">
      <alignment horizontal="center" vertical="center"/>
      <protection hidden="1"/>
    </xf>
  </cellXfs>
  <cellStyles count="229">
    <cellStyle name="20% - Accent1" xfId="21"/>
    <cellStyle name="20% - Accent2" xfId="22"/>
    <cellStyle name="20% - Accent3" xfId="23"/>
    <cellStyle name="20% - Accent4" xfId="24"/>
    <cellStyle name="20% - Accent5" xfId="25"/>
    <cellStyle name="20% - Accent6" xfId="26"/>
    <cellStyle name="2-decimales" xfId="27"/>
    <cellStyle name="40% - Accent1" xfId="28"/>
    <cellStyle name="40% - Accent2" xfId="29"/>
    <cellStyle name="40% - Accent3" xfId="30"/>
    <cellStyle name="40% - Accent4" xfId="31"/>
    <cellStyle name="40% - Accent5" xfId="32"/>
    <cellStyle name="40% - Accent6" xfId="33"/>
    <cellStyle name="60% - Accent1" xfId="34"/>
    <cellStyle name="60% - Accent2" xfId="35"/>
    <cellStyle name="60% - Accent3" xfId="36"/>
    <cellStyle name="60% - Accent4" xfId="37"/>
    <cellStyle name="60% - Accent5" xfId="38"/>
    <cellStyle name="60% - Accent6" xfId="39"/>
    <cellStyle name="Accent1" xfId="40"/>
    <cellStyle name="Accent2" xfId="41"/>
    <cellStyle name="Accent3" xfId="42"/>
    <cellStyle name="Accent4" xfId="43"/>
    <cellStyle name="Accent5" xfId="44"/>
    <cellStyle name="Accent6" xfId="45"/>
    <cellStyle name="Bad" xfId="46"/>
    <cellStyle name="Calculation" xfId="47"/>
    <cellStyle name="Check Cell" xfId="48"/>
    <cellStyle name="CIENTOS" xfId="49"/>
    <cellStyle name="CIENTOS 2D" xfId="50"/>
    <cellStyle name="CIENTOS 3D" xfId="51"/>
    <cellStyle name="CIENTOS 4D" xfId="52"/>
    <cellStyle name="CIENTOS_ANALISIS UNITARIO CONCRETO DE 3000 PSI Y VARIOS (ACERO GRADO 60)" xfId="53"/>
    <cellStyle name="Comma" xfId="54"/>
    <cellStyle name="Comma0" xfId="55"/>
    <cellStyle name="Comma0 - Modelo5" xfId="56"/>
    <cellStyle name="Comma1 - Modelo1" xfId="57"/>
    <cellStyle name="Curren - Modelo2" xfId="58"/>
    <cellStyle name="Currency" xfId="59"/>
    <cellStyle name="Currency0" xfId="60"/>
    <cellStyle name="Date" xfId="61"/>
    <cellStyle name="Énfasis 1" xfId="62"/>
    <cellStyle name="Énfasis 2" xfId="63"/>
    <cellStyle name="Énfasis 3" xfId="64"/>
    <cellStyle name="Énfasis1 - 20%" xfId="65"/>
    <cellStyle name="Énfasis1 - 40%" xfId="66"/>
    <cellStyle name="Énfasis1 - 60%" xfId="67"/>
    <cellStyle name="Énfasis2 - 20%" xfId="68"/>
    <cellStyle name="Énfasis2 - 40%" xfId="69"/>
    <cellStyle name="Énfasis2 - 60%" xfId="70"/>
    <cellStyle name="Énfasis3 - 20%" xfId="71"/>
    <cellStyle name="Énfasis3 - 40%" xfId="72"/>
    <cellStyle name="Énfasis3 - 60%" xfId="73"/>
    <cellStyle name="Énfasis4 - 20%" xfId="74"/>
    <cellStyle name="Énfasis4 - 40%" xfId="75"/>
    <cellStyle name="Énfasis4 - 60%" xfId="76"/>
    <cellStyle name="Énfasis5 - 20%" xfId="77"/>
    <cellStyle name="Énfasis5 - 40%" xfId="78"/>
    <cellStyle name="Énfasis5 - 60%" xfId="79"/>
    <cellStyle name="Énfasis6 - 20%" xfId="80"/>
    <cellStyle name="Énfasis6 - 40%" xfId="81"/>
    <cellStyle name="Énfasis6 - 60%" xfId="82"/>
    <cellStyle name="ENTERO" xfId="83"/>
    <cellStyle name="Estilo 1" xfId="1"/>
    <cellStyle name="Euro" xfId="2"/>
    <cellStyle name="Euro 2" xfId="84"/>
    <cellStyle name="Euro 3" xfId="212"/>
    <cellStyle name="Explanatory Text" xfId="85"/>
    <cellStyle name="F2" xfId="86"/>
    <cellStyle name="F3" xfId="87"/>
    <cellStyle name="F4" xfId="88"/>
    <cellStyle name="F5" xfId="89"/>
    <cellStyle name="F6" xfId="90"/>
    <cellStyle name="F7" xfId="91"/>
    <cellStyle name="F8" xfId="92"/>
    <cellStyle name="Fixed" xfId="93"/>
    <cellStyle name="Good" xfId="94"/>
    <cellStyle name="GRADOSMINSEG" xfId="95"/>
    <cellStyle name="Heading 1" xfId="96"/>
    <cellStyle name="Heading 2" xfId="97"/>
    <cellStyle name="Heading 3" xfId="98"/>
    <cellStyle name="Heading 4" xfId="99"/>
    <cellStyle name="Heading1" xfId="100"/>
    <cellStyle name="Heading2" xfId="101"/>
    <cellStyle name="Hipervínculo 2" xfId="102"/>
    <cellStyle name="Input" xfId="103"/>
    <cellStyle name="Linked Cell" xfId="104"/>
    <cellStyle name="MILE DE MILLONES" xfId="105"/>
    <cellStyle name="MILES" xfId="106"/>
    <cellStyle name="Millares" xfId="3" builtinId="3"/>
    <cellStyle name="Millares [0] 2" xfId="107"/>
    <cellStyle name="Millares [0] 2 2" xfId="214"/>
    <cellStyle name="Millares [0] 3" xfId="108"/>
    <cellStyle name="Millares [0] 3 2" xfId="109"/>
    <cellStyle name="Millares [0] 4" xfId="110"/>
    <cellStyle name="Millares [0] 4 2" xfId="111"/>
    <cellStyle name="Millares [0] 5" xfId="112"/>
    <cellStyle name="Millares [0] 5 2" xfId="113"/>
    <cellStyle name="Millares 10" xfId="114"/>
    <cellStyle name="Millares 10 2" xfId="115"/>
    <cellStyle name="Millares 10 3" xfId="116"/>
    <cellStyle name="Millares 10 4" xfId="117"/>
    <cellStyle name="Millares 10 5" xfId="118"/>
    <cellStyle name="Millares 10 6" xfId="119"/>
    <cellStyle name="Millares 11" xfId="120"/>
    <cellStyle name="Millares 12" xfId="121"/>
    <cellStyle name="Millares 13" xfId="122"/>
    <cellStyle name="Millares 14" xfId="123"/>
    <cellStyle name="Millares 15" xfId="124"/>
    <cellStyle name="Millares 16" xfId="125"/>
    <cellStyle name="Millares 17" xfId="126"/>
    <cellStyle name="Millares 18" xfId="127"/>
    <cellStyle name="Millares 19" xfId="128"/>
    <cellStyle name="Millares 2" xfId="4"/>
    <cellStyle name="Millares 2 2" xfId="129"/>
    <cellStyle name="Millares 2 2 2" xfId="217"/>
    <cellStyle name="Millares 2 3" xfId="130"/>
    <cellStyle name="Millares 2 4" xfId="19"/>
    <cellStyle name="Millares 2 5" xfId="216"/>
    <cellStyle name="Millares 20" xfId="131"/>
    <cellStyle name="Millares 21" xfId="132"/>
    <cellStyle name="Millares 22" xfId="133"/>
    <cellStyle name="Millares 23" xfId="134"/>
    <cellStyle name="Millares 24" xfId="135"/>
    <cellStyle name="Millares 25" xfId="136"/>
    <cellStyle name="Millares 26" xfId="137"/>
    <cellStyle name="Millares 27" xfId="138"/>
    <cellStyle name="Millares 28" xfId="139"/>
    <cellStyle name="Millares 29" xfId="140"/>
    <cellStyle name="Millares 3" xfId="5"/>
    <cellStyle name="Millares 3 2" xfId="142"/>
    <cellStyle name="Millares 3 3" xfId="143"/>
    <cellStyle name="Millares 3 4" xfId="141"/>
    <cellStyle name="Millares 3_6._Presupuesto General Señalización" xfId="144"/>
    <cellStyle name="Millares 30" xfId="145"/>
    <cellStyle name="Millares 31" xfId="146"/>
    <cellStyle name="Millares 32" xfId="147"/>
    <cellStyle name="Millares 33" xfId="148"/>
    <cellStyle name="Millares 34" xfId="149"/>
    <cellStyle name="Millares 35" xfId="150"/>
    <cellStyle name="Millares 36" xfId="16"/>
    <cellStyle name="Millares 37" xfId="184"/>
    <cellStyle name="Millares 38" xfId="223"/>
    <cellStyle name="Millares 39" xfId="213"/>
    <cellStyle name="Millares 4" xfId="151"/>
    <cellStyle name="Millares 4 2" xfId="152"/>
    <cellStyle name="Millares 40" xfId="215"/>
    <cellStyle name="Millares 5" xfId="153"/>
    <cellStyle name="Millares 5 2" xfId="154"/>
    <cellStyle name="Millares 6" xfId="155"/>
    <cellStyle name="Millares 6 2" xfId="156"/>
    <cellStyle name="Millares 7" xfId="157"/>
    <cellStyle name="Millares 7 2" xfId="218"/>
    <cellStyle name="Millares 8" xfId="158"/>
    <cellStyle name="Millares 8 2" xfId="159"/>
    <cellStyle name="Millares 8 3" xfId="160"/>
    <cellStyle name="Millares 8 4" xfId="161"/>
    <cellStyle name="Millares 8 5" xfId="162"/>
    <cellStyle name="Millares 8 6" xfId="163"/>
    <cellStyle name="Millares 8 7" xfId="164"/>
    <cellStyle name="Millares 9" xfId="165"/>
    <cellStyle name="Millares_PtosLicitacionesSRTaño03" xfId="6"/>
    <cellStyle name="MILLONES" xfId="166"/>
    <cellStyle name="Moneda" xfId="7" builtinId="4"/>
    <cellStyle name="Moneda [00]" xfId="167"/>
    <cellStyle name="Moneda [2]" xfId="168"/>
    <cellStyle name="Moneda 12" xfId="169"/>
    <cellStyle name="Moneda 2" xfId="8"/>
    <cellStyle name="Moneda 2 2" xfId="170"/>
    <cellStyle name="Moneda 2 3" xfId="225"/>
    <cellStyle name="Moneda 3" xfId="171"/>
    <cellStyle name="Moneda 3 2" xfId="172"/>
    <cellStyle name="Moneda 3 3" xfId="220"/>
    <cellStyle name="Moneda 4" xfId="173"/>
    <cellStyle name="Moneda 5" xfId="17"/>
    <cellStyle name="Moneda 6" xfId="182"/>
    <cellStyle name="Moneda 7" xfId="222"/>
    <cellStyle name="Moneda 8" xfId="219"/>
    <cellStyle name="Moneda 9" xfId="211"/>
    <cellStyle name="Moneda_PtosLicitacionesSRTaño03" xfId="9"/>
    <cellStyle name="No. punto" xfId="174"/>
    <cellStyle name="Normal" xfId="0" builtinId="0"/>
    <cellStyle name="Normal 10" xfId="227"/>
    <cellStyle name="Normal 2" xfId="10"/>
    <cellStyle name="Normal 2 10" xfId="175"/>
    <cellStyle name="Normal 2 10 2" xfId="176"/>
    <cellStyle name="Normal 2 10 3" xfId="177"/>
    <cellStyle name="Normal 2 2" xfId="11"/>
    <cellStyle name="Normal 2 2 2" xfId="178"/>
    <cellStyle name="Normal 2 3" xfId="179"/>
    <cellStyle name="Normal 2 4" xfId="180"/>
    <cellStyle name="Normal 2_INFORME CTO. 52-2009 CONSORCIO H.L." xfId="181"/>
    <cellStyle name="Normal 3" xfId="12"/>
    <cellStyle name="Normal 3 2" xfId="183"/>
    <cellStyle name="Normal 4" xfId="13"/>
    <cellStyle name="Normal 4 2" xfId="221"/>
    <cellStyle name="Normal 5" xfId="185"/>
    <cellStyle name="Normal 5 2" xfId="186"/>
    <cellStyle name="Normal 5 3" xfId="187"/>
    <cellStyle name="Normal 6" xfId="15"/>
    <cellStyle name="Normal 7" xfId="20"/>
    <cellStyle name="Normal 8" xfId="224"/>
    <cellStyle name="Normal 9" xfId="226"/>
    <cellStyle name="Note" xfId="188"/>
    <cellStyle name="Output" xfId="189"/>
    <cellStyle name="Percen - Modelo3" xfId="190"/>
    <cellStyle name="Percent" xfId="191"/>
    <cellStyle name="Porcentaje" xfId="228" builtinId="5"/>
    <cellStyle name="Porcentaje 2" xfId="192"/>
    <cellStyle name="Porcentaje 3" xfId="18"/>
    <cellStyle name="Porcentual 2" xfId="14"/>
    <cellStyle name="Porcentual 2 2" xfId="193"/>
    <cellStyle name="Porcentual 2 2 2" xfId="194"/>
    <cellStyle name="Porcentual 2 3" xfId="195"/>
    <cellStyle name="Porcentual 2 4" xfId="196"/>
    <cellStyle name="Porcentual 2 5" xfId="197"/>
    <cellStyle name="Porcentual 2 6" xfId="198"/>
    <cellStyle name="Porcentual 3" xfId="199"/>
    <cellStyle name="Porcentual 3 2" xfId="200"/>
    <cellStyle name="Porcentual 4" xfId="201"/>
    <cellStyle name="Porcentual 4 2" xfId="202"/>
    <cellStyle name="Porcentual 5" xfId="203"/>
    <cellStyle name="Porcentual 5 2" xfId="204"/>
    <cellStyle name="Porcentual 6" xfId="205"/>
    <cellStyle name="Porcentual 7" xfId="206"/>
    <cellStyle name="Title" xfId="207"/>
    <cellStyle name="TITULO" xfId="208"/>
    <cellStyle name="Título de hoja" xfId="209"/>
    <cellStyle name="Warning Text" xfId="210"/>
  </cellStyles>
  <dxfs count="235">
    <dxf>
      <font>
        <b/>
        <i val="0"/>
      </font>
      <fill>
        <patternFill>
          <bgColor rgb="FFFFCCCC"/>
        </patternFill>
      </fill>
    </dxf>
    <dxf>
      <font>
        <b/>
        <i val="0"/>
      </font>
      <fill>
        <patternFill>
          <bgColor rgb="FFFF99CC"/>
        </patternFill>
      </fill>
    </dxf>
    <dxf>
      <font>
        <b/>
        <i val="0"/>
      </font>
      <fill>
        <patternFill>
          <bgColor theme="0" tint="-0.14996795556505021"/>
        </patternFill>
      </fill>
    </dxf>
    <dxf>
      <font>
        <b/>
        <i val="0"/>
      </font>
      <fill>
        <patternFill>
          <bgColor rgb="FFFFCCFF"/>
        </patternFill>
      </fill>
    </dxf>
    <dxf>
      <font>
        <b/>
        <i val="0"/>
      </font>
      <fill>
        <patternFill>
          <bgColor theme="0" tint="-0.14996795556505021"/>
        </patternFill>
      </fill>
    </dxf>
    <dxf>
      <font>
        <b/>
        <i val="0"/>
      </font>
      <fill>
        <patternFill>
          <bgColor rgb="FFFFCCFF"/>
        </patternFill>
      </fill>
    </dxf>
    <dxf>
      <font>
        <b/>
        <i val="0"/>
      </font>
      <fill>
        <patternFill>
          <bgColor theme="0" tint="-0.14996795556505021"/>
        </patternFill>
      </fill>
    </dxf>
    <dxf>
      <font>
        <b/>
        <i val="0"/>
        <color auto="1"/>
        <name val="Cambria"/>
        <scheme val="none"/>
      </font>
      <fill>
        <patternFill>
          <bgColor rgb="FFFFCCFF"/>
        </patternFill>
      </fill>
    </dxf>
    <dxf>
      <font>
        <b/>
        <i val="0"/>
        <color auto="1"/>
        <name val="Cambria"/>
        <scheme val="none"/>
      </font>
      <fill>
        <patternFill>
          <bgColor rgb="FF66FFFF"/>
        </patternFill>
      </fill>
    </dxf>
    <dxf>
      <font>
        <b/>
        <i val="0"/>
      </font>
      <fill>
        <patternFill>
          <bgColor rgb="FFFFCCCC"/>
        </patternFill>
      </fill>
    </dxf>
    <dxf>
      <font>
        <b/>
        <i val="0"/>
      </font>
      <fill>
        <patternFill>
          <bgColor rgb="FFFF99CC"/>
        </patternFill>
      </fill>
    </dxf>
    <dxf>
      <font>
        <b/>
        <i val="0"/>
      </font>
      <fill>
        <patternFill>
          <bgColor theme="0" tint="-0.14996795556505021"/>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9"/>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auto="1"/>
      </font>
      <fill>
        <patternFill>
          <bgColor theme="0" tint="-0.14996795556505021"/>
        </patternFill>
      </fill>
    </dxf>
    <dxf>
      <font>
        <b/>
        <i val="0"/>
        <color rgb="FFFF0000"/>
      </font>
    </dxf>
    <dxf>
      <font>
        <b/>
        <i val="0"/>
        <color rgb="FFFF0000"/>
      </font>
    </dxf>
    <dxf>
      <font>
        <b/>
        <i val="0"/>
      </font>
      <fill>
        <patternFill>
          <bgColor rgb="FF99CCFF"/>
        </patternFill>
      </fill>
    </dxf>
    <dxf>
      <font>
        <b/>
        <i val="0"/>
      </font>
      <fill>
        <patternFill>
          <bgColor rgb="FFFFCCCC"/>
        </patternFill>
      </fill>
    </dxf>
    <dxf>
      <font>
        <b/>
        <i val="0"/>
      </font>
      <fill>
        <patternFill>
          <bgColor rgb="FFFF99CC"/>
        </patternFill>
      </fill>
    </dxf>
    <dxf>
      <font>
        <b/>
        <i val="0"/>
        <condense val="0"/>
        <extend val="0"/>
        <color indexed="10"/>
      </font>
      <fill>
        <patternFill>
          <bgColor indexed="45"/>
        </patternFill>
      </fill>
    </dxf>
    <dxf>
      <font>
        <b/>
        <i val="0"/>
        <color auto="1"/>
      </font>
      <fill>
        <patternFill>
          <bgColor theme="0" tint="-0.14996795556505021"/>
        </patternFill>
      </fill>
    </dxf>
  </dxfs>
  <tableStyles count="0" defaultTableStyle="TableStyleMedium9" defaultPivotStyle="PivotStyleLight16"/>
  <colors>
    <mruColors>
      <color rgb="FFB8CCE4"/>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inyurl.com/y9xc8lab"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545024</xdr:colOff>
      <xdr:row>12</xdr:row>
      <xdr:rowOff>22860</xdr:rowOff>
    </xdr:from>
    <xdr:to>
      <xdr:col>5</xdr:col>
      <xdr:colOff>748436</xdr:colOff>
      <xdr:row>13</xdr:row>
      <xdr:rowOff>12277</xdr:rowOff>
    </xdr:to>
    <xdr:pic>
      <xdr:nvPicPr>
        <xdr:cNvPr id="423999" name="1 Imagen" descr="Exportable a varios formatos - TRM diaria">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64774" y="2573443"/>
          <a:ext cx="203412"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FF00"/>
  </sheetPr>
  <dimension ref="A1:R36"/>
  <sheetViews>
    <sheetView showGridLines="0" tabSelected="1" topLeftCell="A19" zoomScale="130" zoomScaleNormal="130" workbookViewId="0">
      <selection activeCell="D30" sqref="D30"/>
    </sheetView>
  </sheetViews>
  <sheetFormatPr baseColWidth="10" defaultColWidth="11.42578125" defaultRowHeight="12.75" x14ac:dyDescent="0.2"/>
  <cols>
    <col min="1" max="1" width="3" style="2" customWidth="1"/>
    <col min="2" max="2" width="10.85546875" style="2" customWidth="1"/>
    <col min="3" max="3" width="12.5703125" style="2" customWidth="1"/>
    <col min="4" max="4" width="41.28515625" style="2" customWidth="1"/>
    <col min="5" max="5" width="15.7109375" style="2" customWidth="1"/>
    <col min="6" max="6" width="13.5703125" style="17" hidden="1" customWidth="1"/>
    <col min="7" max="7" width="17.28515625" style="17" customWidth="1"/>
    <col min="8" max="8" width="18.85546875" style="17" hidden="1" customWidth="1"/>
    <col min="9" max="9" width="2.140625" style="17" hidden="1" customWidth="1"/>
    <col min="10" max="10" width="11.42578125" style="2"/>
    <col min="11" max="11" width="9.7109375" style="2" customWidth="1"/>
    <col min="12" max="12" width="13.85546875" style="2" customWidth="1"/>
    <col min="13" max="13" width="11.42578125" style="2"/>
    <col min="14" max="14" width="1.7109375" style="2" customWidth="1"/>
    <col min="15" max="15" width="10.140625" style="2" customWidth="1"/>
    <col min="16" max="16" width="9" style="2" customWidth="1"/>
    <col min="17" max="17" width="11" style="2" customWidth="1"/>
    <col min="18" max="18" width="10.5703125" style="2" customWidth="1"/>
    <col min="19" max="16384" width="11.42578125" style="2"/>
  </cols>
  <sheetData>
    <row r="1" spans="1:18" s="33" customFormat="1" ht="20.100000000000001" customHeight="1" x14ac:dyDescent="0.25">
      <c r="B1" s="349" t="s">
        <v>109</v>
      </c>
      <c r="C1" s="349"/>
      <c r="D1" s="349"/>
      <c r="E1" s="349"/>
      <c r="F1" s="349"/>
      <c r="G1" s="349"/>
      <c r="H1" s="349"/>
      <c r="I1" s="349"/>
    </row>
    <row r="2" spans="1:18" s="33" customFormat="1" ht="20.100000000000001" customHeight="1" x14ac:dyDescent="0.25">
      <c r="B2" s="334"/>
      <c r="C2" s="334"/>
      <c r="D2" s="334"/>
      <c r="E2" s="334"/>
      <c r="F2" s="334"/>
      <c r="G2" s="334"/>
      <c r="H2" s="334"/>
      <c r="I2" s="334"/>
    </row>
    <row r="3" spans="1:18" s="33" customFormat="1" ht="40.5" customHeight="1" x14ac:dyDescent="0.25">
      <c r="B3" s="334" t="s">
        <v>110</v>
      </c>
      <c r="C3" s="334"/>
      <c r="D3" s="334"/>
      <c r="E3" s="334"/>
      <c r="F3" s="334"/>
      <c r="G3" s="334"/>
      <c r="H3" s="334"/>
      <c r="I3" s="334"/>
    </row>
    <row r="4" spans="1:18" s="33" customFormat="1" ht="18" x14ac:dyDescent="0.25">
      <c r="B4" s="334"/>
      <c r="C4" s="334"/>
      <c r="D4" s="334"/>
      <c r="E4" s="334"/>
      <c r="F4" s="334"/>
      <c r="G4" s="334"/>
      <c r="H4" s="334"/>
      <c r="I4" s="334"/>
    </row>
    <row r="5" spans="1:18" s="33" customFormat="1" ht="25.5" customHeight="1" x14ac:dyDescent="0.25">
      <c r="A5" s="38"/>
      <c r="B5" s="334" t="s">
        <v>111</v>
      </c>
      <c r="C5" s="334"/>
      <c r="D5" s="334"/>
      <c r="E5" s="334"/>
      <c r="F5" s="334"/>
      <c r="G5" s="334"/>
      <c r="H5" s="334"/>
      <c r="I5" s="334"/>
    </row>
    <row r="6" spans="1:18" s="33" customFormat="1" ht="18.75" x14ac:dyDescent="0.25">
      <c r="A6" s="38"/>
      <c r="B6" s="251"/>
      <c r="C6" s="251"/>
      <c r="D6" s="252"/>
      <c r="E6" s="252"/>
      <c r="F6" s="252"/>
      <c r="G6" s="252"/>
      <c r="H6" s="252"/>
      <c r="I6" s="252"/>
    </row>
    <row r="7" spans="1:18" s="33" customFormat="1" ht="64.5" customHeight="1" x14ac:dyDescent="0.25">
      <c r="A7" s="38"/>
      <c r="B7" s="334" t="s">
        <v>112</v>
      </c>
      <c r="C7" s="334"/>
      <c r="D7" s="334"/>
      <c r="E7" s="334"/>
      <c r="F7" s="334"/>
      <c r="G7" s="334"/>
      <c r="H7" s="334"/>
      <c r="I7" s="334"/>
    </row>
    <row r="8" spans="1:18" s="33" customFormat="1" ht="18.75" x14ac:dyDescent="0.25">
      <c r="A8" s="38"/>
      <c r="B8" s="49"/>
      <c r="C8" s="49"/>
      <c r="D8" s="48"/>
      <c r="E8" s="48"/>
      <c r="F8" s="48"/>
      <c r="G8" s="48"/>
      <c r="H8" s="48"/>
      <c r="I8" s="48"/>
    </row>
    <row r="9" spans="1:18" s="33" customFormat="1" ht="18.75" x14ac:dyDescent="0.25">
      <c r="A9" s="38"/>
      <c r="B9" s="49"/>
      <c r="C9" s="49"/>
      <c r="D9" s="48"/>
      <c r="E9" s="48"/>
      <c r="F9" s="48"/>
      <c r="G9" s="48"/>
      <c r="H9" s="48"/>
      <c r="I9" s="48"/>
    </row>
    <row r="10" spans="1:18" ht="13.5" customHeight="1" x14ac:dyDescent="0.2">
      <c r="B10" s="345" t="s">
        <v>22</v>
      </c>
      <c r="C10" s="345"/>
      <c r="D10" s="345"/>
      <c r="E10" s="345"/>
      <c r="F10" s="345"/>
      <c r="G10" s="345"/>
      <c r="H10" s="345"/>
      <c r="I10" s="345"/>
    </row>
    <row r="11" spans="1:18" ht="13.5" customHeight="1" thickBot="1" x14ac:dyDescent="0.25">
      <c r="B11" s="346" t="s">
        <v>16</v>
      </c>
      <c r="C11" s="346"/>
      <c r="D11" s="346"/>
      <c r="E11" s="346"/>
      <c r="F11" s="346"/>
      <c r="G11" s="346"/>
      <c r="H11" s="346"/>
      <c r="I11" s="346"/>
    </row>
    <row r="12" spans="1:18" ht="20.25" customHeight="1" thickTop="1" thickBot="1" x14ac:dyDescent="0.25">
      <c r="B12" s="339" t="s">
        <v>37</v>
      </c>
      <c r="C12" s="341" t="s">
        <v>80</v>
      </c>
      <c r="D12" s="337" t="s">
        <v>81</v>
      </c>
      <c r="E12" s="341" t="s">
        <v>17</v>
      </c>
      <c r="F12" s="347" t="s">
        <v>18</v>
      </c>
      <c r="G12" s="348"/>
      <c r="H12" s="258"/>
      <c r="I12" s="343"/>
      <c r="K12" s="453" t="s">
        <v>206</v>
      </c>
      <c r="L12" s="454"/>
      <c r="M12" s="454"/>
      <c r="N12" s="454"/>
      <c r="O12" s="454"/>
      <c r="P12" s="454"/>
      <c r="Q12" s="454"/>
      <c r="R12" s="455"/>
    </row>
    <row r="13" spans="1:18" ht="21.75" customHeight="1" thickBot="1" x14ac:dyDescent="0.25">
      <c r="B13" s="340"/>
      <c r="C13" s="342"/>
      <c r="D13" s="338"/>
      <c r="E13" s="342"/>
      <c r="F13" s="257"/>
      <c r="G13" s="260" t="s">
        <v>74</v>
      </c>
      <c r="H13" s="259"/>
      <c r="I13" s="344"/>
      <c r="K13" s="440" t="s">
        <v>207</v>
      </c>
      <c r="L13" s="441" t="s">
        <v>208</v>
      </c>
      <c r="M13" s="442" t="s">
        <v>209</v>
      </c>
      <c r="N13" s="442"/>
      <c r="O13" s="442"/>
      <c r="P13" s="442"/>
      <c r="Q13" s="442"/>
      <c r="R13" s="443"/>
    </row>
    <row r="14" spans="1:18" ht="27" customHeight="1" x14ac:dyDescent="0.2">
      <c r="B14" s="51"/>
      <c r="C14" s="77"/>
      <c r="D14" s="52"/>
      <c r="E14" s="52"/>
      <c r="F14" s="247"/>
      <c r="G14" s="261"/>
      <c r="H14" s="247"/>
      <c r="I14" s="60"/>
      <c r="J14" s="198"/>
      <c r="K14" s="459"/>
      <c r="L14" s="456"/>
      <c r="M14" s="456" t="s">
        <v>210</v>
      </c>
      <c r="N14" s="456"/>
      <c r="O14" s="457" t="s">
        <v>211</v>
      </c>
      <c r="P14" s="457" t="s">
        <v>212</v>
      </c>
      <c r="Q14" s="457" t="s">
        <v>223</v>
      </c>
      <c r="R14" s="460" t="s">
        <v>213</v>
      </c>
    </row>
    <row r="15" spans="1:18" ht="21" customHeight="1" x14ac:dyDescent="0.2">
      <c r="B15" s="320">
        <v>1</v>
      </c>
      <c r="C15" s="327">
        <v>2</v>
      </c>
      <c r="D15" s="324" t="s">
        <v>183</v>
      </c>
      <c r="E15" s="321" t="s">
        <v>9</v>
      </c>
      <c r="F15" s="322"/>
      <c r="G15" s="322">
        <v>100</v>
      </c>
      <c r="H15" s="232"/>
      <c r="I15" s="161"/>
      <c r="J15" s="198"/>
      <c r="K15" s="445">
        <v>2</v>
      </c>
      <c r="L15" s="444" t="s">
        <v>183</v>
      </c>
      <c r="M15" s="458" t="s">
        <v>214</v>
      </c>
      <c r="N15" s="458"/>
      <c r="O15" s="447" t="s">
        <v>214</v>
      </c>
      <c r="P15" s="447" t="s">
        <v>214</v>
      </c>
      <c r="Q15" s="447" t="s">
        <v>214</v>
      </c>
      <c r="R15" s="450" t="s">
        <v>214</v>
      </c>
    </row>
    <row r="16" spans="1:18" ht="38.25" x14ac:dyDescent="0.2">
      <c r="B16" s="320">
        <v>2</v>
      </c>
      <c r="C16" s="323">
        <v>4</v>
      </c>
      <c r="D16" s="324" t="s">
        <v>184</v>
      </c>
      <c r="E16" s="321" t="s">
        <v>9</v>
      </c>
      <c r="F16" s="322"/>
      <c r="G16" s="322">
        <v>100</v>
      </c>
      <c r="H16" s="232"/>
      <c r="I16" s="161"/>
      <c r="J16" s="198"/>
      <c r="K16" s="445">
        <v>4</v>
      </c>
      <c r="L16" s="444" t="s">
        <v>184</v>
      </c>
      <c r="M16" s="446" t="s">
        <v>215</v>
      </c>
      <c r="N16" s="446"/>
      <c r="O16" s="447" t="s">
        <v>214</v>
      </c>
      <c r="P16" s="447" t="s">
        <v>214</v>
      </c>
      <c r="Q16" s="447" t="s">
        <v>222</v>
      </c>
      <c r="R16" s="450" t="s">
        <v>215</v>
      </c>
    </row>
    <row r="17" spans="2:18" ht="38.25" x14ac:dyDescent="0.2">
      <c r="B17" s="320">
        <v>3</v>
      </c>
      <c r="C17" s="325">
        <v>12</v>
      </c>
      <c r="D17" s="324" t="s">
        <v>185</v>
      </c>
      <c r="E17" s="321" t="s">
        <v>9</v>
      </c>
      <c r="F17" s="322"/>
      <c r="G17" s="322">
        <v>100</v>
      </c>
      <c r="H17" s="232"/>
      <c r="I17" s="161"/>
      <c r="J17" s="198"/>
      <c r="K17" s="445">
        <v>12</v>
      </c>
      <c r="L17" s="444" t="s">
        <v>185</v>
      </c>
      <c r="M17" s="446" t="s">
        <v>214</v>
      </c>
      <c r="N17" s="446"/>
      <c r="O17" s="447" t="s">
        <v>214</v>
      </c>
      <c r="P17" s="447" t="s">
        <v>214</v>
      </c>
      <c r="Q17" s="447" t="s">
        <v>214</v>
      </c>
      <c r="R17" s="450" t="s">
        <v>216</v>
      </c>
    </row>
    <row r="18" spans="2:18" ht="25.5" x14ac:dyDescent="0.2">
      <c r="B18" s="320">
        <v>4</v>
      </c>
      <c r="C18" s="323">
        <v>14</v>
      </c>
      <c r="D18" s="324" t="s">
        <v>186</v>
      </c>
      <c r="E18" s="321" t="s">
        <v>9</v>
      </c>
      <c r="F18" s="322"/>
      <c r="G18" s="322">
        <v>100</v>
      </c>
      <c r="H18" s="232"/>
      <c r="I18" s="161"/>
      <c r="J18" s="198"/>
      <c r="K18" s="445">
        <v>14</v>
      </c>
      <c r="L18" s="444" t="s">
        <v>186</v>
      </c>
      <c r="M18" s="446" t="s">
        <v>214</v>
      </c>
      <c r="N18" s="446"/>
      <c r="O18" s="447" t="s">
        <v>214</v>
      </c>
      <c r="P18" s="447" t="s">
        <v>214</v>
      </c>
      <c r="Q18" s="447" t="s">
        <v>214</v>
      </c>
      <c r="R18" s="450" t="s">
        <v>214</v>
      </c>
    </row>
    <row r="19" spans="2:18" ht="25.5" x14ac:dyDescent="0.2">
      <c r="B19" s="320">
        <v>5</v>
      </c>
      <c r="C19" s="320">
        <v>15</v>
      </c>
      <c r="D19" s="319" t="s">
        <v>187</v>
      </c>
      <c r="E19" s="321" t="s">
        <v>13</v>
      </c>
      <c r="F19" s="322"/>
      <c r="G19" s="322">
        <v>100</v>
      </c>
      <c r="H19" s="232"/>
      <c r="I19" s="161"/>
      <c r="J19" s="198"/>
      <c r="K19" s="445">
        <v>15</v>
      </c>
      <c r="L19" s="444" t="s">
        <v>187</v>
      </c>
      <c r="M19" s="446" t="s">
        <v>215</v>
      </c>
      <c r="N19" s="446"/>
      <c r="O19" s="447" t="s">
        <v>215</v>
      </c>
      <c r="P19" s="447" t="s">
        <v>217</v>
      </c>
      <c r="Q19" s="447" t="s">
        <v>222</v>
      </c>
      <c r="R19" s="450" t="s">
        <v>215</v>
      </c>
    </row>
    <row r="20" spans="2:18" ht="25.5" x14ac:dyDescent="0.2">
      <c r="B20" s="320">
        <v>6</v>
      </c>
      <c r="C20" s="318">
        <v>16</v>
      </c>
      <c r="D20" s="319" t="s">
        <v>188</v>
      </c>
      <c r="E20" s="321" t="s">
        <v>13</v>
      </c>
      <c r="F20" s="322"/>
      <c r="G20" s="322">
        <v>100</v>
      </c>
      <c r="H20" s="232"/>
      <c r="I20" s="161"/>
      <c r="J20" s="198"/>
      <c r="K20" s="445">
        <v>16</v>
      </c>
      <c r="L20" s="444" t="s">
        <v>188</v>
      </c>
      <c r="M20" s="446" t="s">
        <v>215</v>
      </c>
      <c r="N20" s="446"/>
      <c r="O20" s="447" t="s">
        <v>214</v>
      </c>
      <c r="P20" s="447" t="s">
        <v>218</v>
      </c>
      <c r="Q20" s="447" t="s">
        <v>222</v>
      </c>
      <c r="R20" s="450" t="s">
        <v>215</v>
      </c>
    </row>
    <row r="21" spans="2:18" ht="25.5" x14ac:dyDescent="0.2">
      <c r="B21" s="320">
        <v>7</v>
      </c>
      <c r="C21" s="320">
        <v>17</v>
      </c>
      <c r="D21" s="324" t="s">
        <v>189</v>
      </c>
      <c r="E21" s="321" t="s">
        <v>9</v>
      </c>
      <c r="F21" s="322"/>
      <c r="G21" s="322">
        <v>100</v>
      </c>
      <c r="H21" s="232"/>
      <c r="I21" s="161"/>
      <c r="J21" s="198"/>
      <c r="K21" s="445">
        <v>17</v>
      </c>
      <c r="L21" s="444" t="s">
        <v>189</v>
      </c>
      <c r="M21" s="446" t="s">
        <v>214</v>
      </c>
      <c r="N21" s="446"/>
      <c r="O21" s="447" t="s">
        <v>214</v>
      </c>
      <c r="P21" s="447" t="s">
        <v>214</v>
      </c>
      <c r="Q21" s="447" t="s">
        <v>214</v>
      </c>
      <c r="R21" s="450" t="s">
        <v>214</v>
      </c>
    </row>
    <row r="22" spans="2:18" x14ac:dyDescent="0.2">
      <c r="B22" s="320">
        <v>8</v>
      </c>
      <c r="C22" s="318">
        <v>18</v>
      </c>
      <c r="D22" s="324" t="s">
        <v>190</v>
      </c>
      <c r="E22" s="321" t="s">
        <v>9</v>
      </c>
      <c r="F22" s="322"/>
      <c r="G22" s="322">
        <v>100</v>
      </c>
      <c r="H22" s="232"/>
      <c r="I22" s="161"/>
      <c r="J22" s="198"/>
      <c r="K22" s="445">
        <v>18</v>
      </c>
      <c r="L22" s="444" t="s">
        <v>190</v>
      </c>
      <c r="M22" s="446" t="s">
        <v>219</v>
      </c>
      <c r="N22" s="446"/>
      <c r="O22" s="447" t="s">
        <v>214</v>
      </c>
      <c r="P22" s="447" t="s">
        <v>214</v>
      </c>
      <c r="Q22" s="447" t="s">
        <v>214</v>
      </c>
      <c r="R22" s="450" t="s">
        <v>219</v>
      </c>
    </row>
    <row r="23" spans="2:18" ht="25.5" x14ac:dyDescent="0.2">
      <c r="B23" s="463">
        <v>9</v>
      </c>
      <c r="C23" s="463">
        <v>19</v>
      </c>
      <c r="D23" s="464" t="s">
        <v>191</v>
      </c>
      <c r="E23" s="465" t="s">
        <v>13</v>
      </c>
      <c r="F23" s="466"/>
      <c r="G23" s="466">
        <v>100</v>
      </c>
      <c r="H23" s="232"/>
      <c r="I23" s="161"/>
      <c r="J23" s="198"/>
      <c r="K23" s="445">
        <v>19</v>
      </c>
      <c r="L23" s="444" t="s">
        <v>191</v>
      </c>
      <c r="M23" s="446" t="s">
        <v>215</v>
      </c>
      <c r="N23" s="446"/>
      <c r="O23" s="447" t="s">
        <v>214</v>
      </c>
      <c r="P23" s="447" t="s">
        <v>214</v>
      </c>
      <c r="Q23" s="447" t="s">
        <v>214</v>
      </c>
      <c r="R23" s="450" t="s">
        <v>215</v>
      </c>
    </row>
    <row r="24" spans="2:18" ht="25.5" x14ac:dyDescent="0.2">
      <c r="B24" s="320">
        <v>10</v>
      </c>
      <c r="C24" s="318">
        <v>20</v>
      </c>
      <c r="D24" s="319" t="s">
        <v>192</v>
      </c>
      <c r="E24" s="321" t="s">
        <v>13</v>
      </c>
      <c r="F24" s="322"/>
      <c r="G24" s="322">
        <v>100</v>
      </c>
      <c r="H24" s="232"/>
      <c r="I24" s="161"/>
      <c r="J24" s="198"/>
      <c r="K24" s="445">
        <v>20</v>
      </c>
      <c r="L24" s="444" t="s">
        <v>192</v>
      </c>
      <c r="M24" s="446" t="s">
        <v>215</v>
      </c>
      <c r="N24" s="446"/>
      <c r="O24" s="447" t="s">
        <v>214</v>
      </c>
      <c r="P24" s="447" t="s">
        <v>218</v>
      </c>
      <c r="Q24" s="447" t="s">
        <v>222</v>
      </c>
      <c r="R24" s="450" t="s">
        <v>215</v>
      </c>
    </row>
    <row r="25" spans="2:18" ht="25.5" x14ac:dyDescent="0.2">
      <c r="B25" s="320">
        <v>11</v>
      </c>
      <c r="C25" s="320">
        <v>21</v>
      </c>
      <c r="D25" s="319" t="s">
        <v>193</v>
      </c>
      <c r="E25" s="321" t="s">
        <v>13</v>
      </c>
      <c r="F25" s="322"/>
      <c r="G25" s="322">
        <v>100</v>
      </c>
      <c r="H25" s="232"/>
      <c r="I25" s="161"/>
      <c r="J25" s="198"/>
      <c r="K25" s="445">
        <v>21</v>
      </c>
      <c r="L25" s="444" t="s">
        <v>193</v>
      </c>
      <c r="M25" s="446" t="s">
        <v>215</v>
      </c>
      <c r="N25" s="446"/>
      <c r="O25" s="447" t="s">
        <v>215</v>
      </c>
      <c r="P25" s="447" t="s">
        <v>217</v>
      </c>
      <c r="Q25" s="447" t="s">
        <v>222</v>
      </c>
      <c r="R25" s="450" t="s">
        <v>215</v>
      </c>
    </row>
    <row r="26" spans="2:18" ht="25.5" x14ac:dyDescent="0.2">
      <c r="B26" s="320">
        <v>12</v>
      </c>
      <c r="C26" s="318">
        <v>22</v>
      </c>
      <c r="D26" s="319" t="s">
        <v>194</v>
      </c>
      <c r="E26" s="321" t="s">
        <v>13</v>
      </c>
      <c r="F26" s="322"/>
      <c r="G26" s="322">
        <v>100</v>
      </c>
      <c r="H26" s="232"/>
      <c r="I26" s="161"/>
      <c r="J26" s="198"/>
      <c r="K26" s="445">
        <v>22</v>
      </c>
      <c r="L26" s="444" t="s">
        <v>194</v>
      </c>
      <c r="M26" s="446" t="s">
        <v>215</v>
      </c>
      <c r="N26" s="446"/>
      <c r="O26" s="447" t="s">
        <v>215</v>
      </c>
      <c r="P26" s="447" t="s">
        <v>217</v>
      </c>
      <c r="Q26" s="447" t="s">
        <v>222</v>
      </c>
      <c r="R26" s="450" t="s">
        <v>215</v>
      </c>
    </row>
    <row r="27" spans="2:18" ht="25.5" x14ac:dyDescent="0.2">
      <c r="B27" s="320">
        <v>13</v>
      </c>
      <c r="C27" s="320">
        <v>24</v>
      </c>
      <c r="D27" s="324" t="s">
        <v>195</v>
      </c>
      <c r="E27" s="321" t="s">
        <v>9</v>
      </c>
      <c r="F27" s="322"/>
      <c r="G27" s="322">
        <v>100</v>
      </c>
      <c r="H27" s="232"/>
      <c r="I27" s="161"/>
      <c r="J27" s="198"/>
      <c r="K27" s="445">
        <v>24</v>
      </c>
      <c r="L27" s="444" t="s">
        <v>195</v>
      </c>
      <c r="M27" s="446" t="s">
        <v>214</v>
      </c>
      <c r="N27" s="446"/>
      <c r="O27" s="447" t="s">
        <v>214</v>
      </c>
      <c r="P27" s="447" t="s">
        <v>214</v>
      </c>
      <c r="Q27" s="447" t="s">
        <v>214</v>
      </c>
      <c r="R27" s="450" t="s">
        <v>214</v>
      </c>
    </row>
    <row r="28" spans="2:18" ht="25.5" x14ac:dyDescent="0.2">
      <c r="B28" s="320">
        <v>14</v>
      </c>
      <c r="C28" s="318">
        <v>26</v>
      </c>
      <c r="D28" s="319" t="s">
        <v>196</v>
      </c>
      <c r="E28" s="321" t="s">
        <v>13</v>
      </c>
      <c r="F28" s="322"/>
      <c r="G28" s="322">
        <v>100</v>
      </c>
      <c r="H28" s="232"/>
      <c r="I28" s="161"/>
      <c r="J28" s="198"/>
      <c r="K28" s="445">
        <v>26</v>
      </c>
      <c r="L28" s="444" t="s">
        <v>196</v>
      </c>
      <c r="M28" s="446" t="s">
        <v>215</v>
      </c>
      <c r="N28" s="446"/>
      <c r="O28" s="447" t="s">
        <v>215</v>
      </c>
      <c r="P28" s="447" t="s">
        <v>217</v>
      </c>
      <c r="Q28" s="447" t="s">
        <v>222</v>
      </c>
      <c r="R28" s="450" t="s">
        <v>215</v>
      </c>
    </row>
    <row r="29" spans="2:18" ht="38.25" x14ac:dyDescent="0.2">
      <c r="B29" s="320">
        <v>15</v>
      </c>
      <c r="C29" s="320">
        <v>27</v>
      </c>
      <c r="D29" s="324" t="s">
        <v>197</v>
      </c>
      <c r="E29" s="321" t="s">
        <v>9</v>
      </c>
      <c r="F29" s="322"/>
      <c r="G29" s="322">
        <v>100</v>
      </c>
      <c r="H29" s="232"/>
      <c r="I29" s="161"/>
      <c r="J29" s="198"/>
      <c r="K29" s="445">
        <v>27</v>
      </c>
      <c r="L29" s="444" t="s">
        <v>197</v>
      </c>
      <c r="M29" s="446" t="s">
        <v>214</v>
      </c>
      <c r="N29" s="446"/>
      <c r="O29" s="447" t="s">
        <v>214</v>
      </c>
      <c r="P29" s="447" t="s">
        <v>214</v>
      </c>
      <c r="Q29" s="447" t="s">
        <v>214</v>
      </c>
      <c r="R29" s="450" t="s">
        <v>214</v>
      </c>
    </row>
    <row r="30" spans="2:18" ht="39" thickBot="1" x14ac:dyDescent="0.25">
      <c r="B30" s="320">
        <v>16</v>
      </c>
      <c r="C30" s="317">
        <v>28</v>
      </c>
      <c r="D30" s="326" t="s">
        <v>198</v>
      </c>
      <c r="E30" s="321" t="s">
        <v>9</v>
      </c>
      <c r="F30" s="322"/>
      <c r="G30" s="322">
        <v>100</v>
      </c>
      <c r="H30" s="232"/>
      <c r="I30" s="161"/>
      <c r="J30" s="198"/>
      <c r="K30" s="448">
        <v>28</v>
      </c>
      <c r="L30" s="449" t="s">
        <v>198</v>
      </c>
      <c r="M30" s="461" t="s">
        <v>220</v>
      </c>
      <c r="N30" s="461"/>
      <c r="O30" s="451" t="s">
        <v>214</v>
      </c>
      <c r="P30" s="451" t="s">
        <v>214</v>
      </c>
      <c r="Q30" s="451" t="s">
        <v>214</v>
      </c>
      <c r="R30" s="452" t="s">
        <v>221</v>
      </c>
    </row>
    <row r="31" spans="2:18" ht="5.25" customHeight="1" thickBot="1" x14ac:dyDescent="0.25">
      <c r="B31" s="335"/>
      <c r="C31" s="336"/>
      <c r="D31" s="336"/>
      <c r="E31" s="336"/>
      <c r="F31" s="57"/>
      <c r="G31" s="57"/>
      <c r="H31" s="246"/>
      <c r="I31" s="57"/>
      <c r="J31" s="198"/>
    </row>
    <row r="32" spans="2:18" ht="13.5" thickTop="1" x14ac:dyDescent="0.2">
      <c r="B32" s="328" t="s">
        <v>19</v>
      </c>
      <c r="C32" s="329"/>
      <c r="D32" s="162" t="s">
        <v>9</v>
      </c>
      <c r="E32" s="53">
        <f>COUNTIF($E$15:$E$30,D32)</f>
        <v>9</v>
      </c>
      <c r="F32" s="71"/>
      <c r="G32" s="233"/>
      <c r="H32" s="72"/>
      <c r="I32" s="233"/>
    </row>
    <row r="33" spans="2:9" x14ac:dyDescent="0.2">
      <c r="B33" s="330"/>
      <c r="C33" s="331"/>
      <c r="D33" s="163" t="s">
        <v>8</v>
      </c>
      <c r="E33" s="54">
        <f>COUNTIF($E$15:$E$30,D33)</f>
        <v>0</v>
      </c>
      <c r="F33" s="56"/>
      <c r="G33" s="61"/>
      <c r="H33" s="57"/>
      <c r="I33" s="61"/>
    </row>
    <row r="34" spans="2:9" x14ac:dyDescent="0.2">
      <c r="B34" s="330"/>
      <c r="C34" s="331"/>
      <c r="D34" s="164" t="s">
        <v>13</v>
      </c>
      <c r="E34" s="78">
        <f>COUNTIF($E$15:$E$30,D34)</f>
        <v>7</v>
      </c>
      <c r="F34" s="56"/>
      <c r="G34" s="61"/>
      <c r="H34" s="57"/>
      <c r="I34" s="61"/>
    </row>
    <row r="35" spans="2:9" ht="13.5" thickBot="1" x14ac:dyDescent="0.25">
      <c r="B35" s="332"/>
      <c r="C35" s="333"/>
      <c r="D35" s="296" t="s">
        <v>39</v>
      </c>
      <c r="E35" s="55">
        <f>SUM(E32:E34)</f>
        <v>16</v>
      </c>
      <c r="F35" s="58"/>
      <c r="G35" s="234"/>
      <c r="H35" s="59"/>
      <c r="I35" s="234"/>
    </row>
    <row r="36" spans="2:9" ht="13.5" thickTop="1" x14ac:dyDescent="0.2"/>
  </sheetData>
  <sheetProtection selectLockedCells="1"/>
  <mergeCells count="37">
    <mergeCell ref="M30:N30"/>
    <mergeCell ref="K12:R12"/>
    <mergeCell ref="M15:N15"/>
    <mergeCell ref="M25:N25"/>
    <mergeCell ref="M26:N26"/>
    <mergeCell ref="M27:N27"/>
    <mergeCell ref="M28:N28"/>
    <mergeCell ref="M29:N29"/>
    <mergeCell ref="M20:N20"/>
    <mergeCell ref="M21:N21"/>
    <mergeCell ref="M22:N22"/>
    <mergeCell ref="M23:N23"/>
    <mergeCell ref="M24:N24"/>
    <mergeCell ref="M16:N16"/>
    <mergeCell ref="M17:N17"/>
    <mergeCell ref="M18:N18"/>
    <mergeCell ref="M19:N19"/>
    <mergeCell ref="K13:K14"/>
    <mergeCell ref="L13:L14"/>
    <mergeCell ref="M13:Q13"/>
    <mergeCell ref="M14:N14"/>
    <mergeCell ref="B1:I1"/>
    <mergeCell ref="B2:I2"/>
    <mergeCell ref="B3:I3"/>
    <mergeCell ref="B5:I5"/>
    <mergeCell ref="B7:I7"/>
    <mergeCell ref="B32:C35"/>
    <mergeCell ref="B4:I4"/>
    <mergeCell ref="B31:E31"/>
    <mergeCell ref="D12:D13"/>
    <mergeCell ref="B12:B13"/>
    <mergeCell ref="E12:E13"/>
    <mergeCell ref="C12:C13"/>
    <mergeCell ref="I12:I13"/>
    <mergeCell ref="B10:I10"/>
    <mergeCell ref="B11:I11"/>
    <mergeCell ref="F12:G12"/>
  </mergeCells>
  <phoneticPr fontId="0" type="noConversion"/>
  <conditionalFormatting sqref="B15:B30 E15:I30">
    <cfRule type="expression" dxfId="234" priority="37">
      <formula>MOD(ROW(),2)</formula>
    </cfRule>
  </conditionalFormatting>
  <conditionalFormatting sqref="E33">
    <cfRule type="cellIs" dxfId="233" priority="20" operator="greaterThan">
      <formula>0</formula>
    </cfRule>
  </conditionalFormatting>
  <conditionalFormatting sqref="E15:E30">
    <cfRule type="cellIs" dxfId="232" priority="17" operator="equal">
      <formula>"RECHAZO"</formula>
    </cfRule>
    <cfRule type="cellIs" dxfId="231" priority="18" operator="equal">
      <formula>"NO ADMISIBLE"</formula>
    </cfRule>
    <cfRule type="cellIs" dxfId="230" priority="19" operator="equal">
      <formula>"ADMISIBLE"</formula>
    </cfRule>
  </conditionalFormatting>
  <conditionalFormatting sqref="F15:H30">
    <cfRule type="cellIs" dxfId="229" priority="11" operator="equal">
      <formula>0</formula>
    </cfRule>
  </conditionalFormatting>
  <conditionalFormatting sqref="I15:I30">
    <cfRule type="cellIs" dxfId="228" priority="10" operator="equal">
      <formula>"NO"</formula>
    </cfRule>
  </conditionalFormatting>
  <conditionalFormatting sqref="C15">
    <cfRule type="expression" dxfId="227" priority="9">
      <formula>MOD(ROW(),2)</formula>
    </cfRule>
  </conditionalFormatting>
  <conditionalFormatting sqref="C17">
    <cfRule type="expression" dxfId="226" priority="8">
      <formula>MOD(ROW(),2)</formula>
    </cfRule>
  </conditionalFormatting>
  <conditionalFormatting sqref="C19">
    <cfRule type="expression" dxfId="225" priority="7">
      <formula>MOD(ROW(),2)</formula>
    </cfRule>
  </conditionalFormatting>
  <conditionalFormatting sqref="C21">
    <cfRule type="expression" dxfId="224" priority="6">
      <formula>MOD(ROW(),2)</formula>
    </cfRule>
  </conditionalFormatting>
  <conditionalFormatting sqref="C23">
    <cfRule type="expression" dxfId="223" priority="5">
      <formula>MOD(ROW(),2)</formula>
    </cfRule>
  </conditionalFormatting>
  <conditionalFormatting sqref="C25">
    <cfRule type="expression" dxfId="222" priority="4">
      <formula>MOD(ROW(),2)</formula>
    </cfRule>
  </conditionalFormatting>
  <conditionalFormatting sqref="C27">
    <cfRule type="expression" dxfId="221" priority="3">
      <formula>MOD(ROW(),2)</formula>
    </cfRule>
  </conditionalFormatting>
  <conditionalFormatting sqref="C29">
    <cfRule type="expression" dxfId="220" priority="2">
      <formula>MOD(ROW(),2)</formula>
    </cfRule>
  </conditionalFormatting>
  <dataValidations count="1">
    <dataValidation type="list" allowBlank="1" showInputMessage="1" showErrorMessage="1" sqref="E15:E30">
      <formula1>RESULTADO</formula1>
    </dataValidation>
  </dataValidations>
  <printOptions horizontalCentered="1"/>
  <pageMargins left="0.23622047244094491" right="0.23622047244094491" top="0.74803149606299213" bottom="0.74803149606299213" header="0.31496062992125984" footer="0.31496062992125984"/>
  <pageSetup scale="53" orientation="portrait" horizontalDpi="1200" verticalDpi="1200" r:id="rId1"/>
  <headerFooter alignWithMargins="0">
    <oddFooter>&amp;L&amp;9&amp;F&amp;A&amp;C&amp;P de &amp;N&amp;R&amp;9INSTITUTO NACIONAL DE VIAS&amp;D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249977111117893"/>
  </sheetPr>
  <dimension ref="A1:YT153"/>
  <sheetViews>
    <sheetView showGridLines="0" topLeftCell="A10" zoomScale="80" zoomScaleNormal="80" zoomScaleSheetLayoutView="55" workbookViewId="0">
      <pane xSplit="8" ySplit="3" topLeftCell="AV46" activePane="bottomRight" state="frozen"/>
      <selection activeCell="A10" sqref="A10"/>
      <selection pane="topRight" activeCell="I10" sqref="I10"/>
      <selection pane="bottomLeft" activeCell="A13" sqref="A13"/>
      <selection pane="bottomRight" activeCell="BB65" sqref="BB65:BD68"/>
    </sheetView>
  </sheetViews>
  <sheetFormatPr baseColWidth="10" defaultColWidth="0" defaultRowHeight="12.75" x14ac:dyDescent="0.2"/>
  <cols>
    <col min="1" max="1" width="2.7109375" style="2" customWidth="1"/>
    <col min="2" max="2" width="5.140625" style="15" customWidth="1"/>
    <col min="3" max="3" width="9.5703125" style="15" customWidth="1"/>
    <col min="4" max="4" width="45.7109375" style="2" customWidth="1"/>
    <col min="5" max="5" width="10.140625" style="2" customWidth="1"/>
    <col min="6" max="6" width="13.5703125" style="2" customWidth="1"/>
    <col min="7" max="7" width="18" style="12" customWidth="1"/>
    <col min="8" max="8" width="22.140625" style="2" customWidth="1"/>
    <col min="9" max="10" width="21.140625" style="12" customWidth="1"/>
    <col min="11" max="11" width="21.140625" style="16" customWidth="1"/>
    <col min="12" max="56" width="21.140625" customWidth="1"/>
    <col min="57" max="57" width="16.5703125" customWidth="1"/>
    <col min="58" max="58" width="11.42578125" style="2" hidden="1" customWidth="1"/>
    <col min="59" max="669" width="0" style="2" hidden="1" customWidth="1"/>
    <col min="670" max="670" width="11.42578125" style="2" hidden="1" customWidth="1"/>
    <col min="671" max="16384" width="0" style="2" hidden="1"/>
  </cols>
  <sheetData>
    <row r="1" spans="1:57" s="34" customFormat="1" ht="20.100000000000001" customHeight="1" x14ac:dyDescent="0.25">
      <c r="A1" s="35"/>
      <c r="B1" s="349" t="str">
        <f>RESUMEN!B1</f>
        <v>FIDUPREVISORA</v>
      </c>
      <c r="C1" s="349"/>
      <c r="D1" s="349"/>
      <c r="E1" s="349"/>
      <c r="F1" s="349"/>
      <c r="G1" s="349"/>
      <c r="H1" s="349"/>
      <c r="I1" s="36"/>
      <c r="J1" s="35"/>
      <c r="K1" s="37"/>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34" customFormat="1" ht="20.100000000000001" customHeight="1" x14ac:dyDescent="0.25">
      <c r="A2" s="35"/>
      <c r="B2" s="334"/>
      <c r="C2" s="334"/>
      <c r="D2" s="334"/>
      <c r="E2" s="334"/>
      <c r="F2" s="334"/>
      <c r="G2" s="334"/>
      <c r="H2" s="334"/>
      <c r="I2" s="36"/>
      <c r="J2" s="35"/>
      <c r="K2" s="3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34" customFormat="1" ht="40.5" customHeight="1" x14ac:dyDescent="0.25">
      <c r="A3" s="35"/>
      <c r="B3" s="334" t="str">
        <f>RESUMEN!B3</f>
        <v>PATRIMONIO AUTÓNOMO FIDEICOMISO ECOPETROL ZOMAC (en adelante PATRIMONIO AUTÓNOMO) FIDUCIARIA LA PREVISORA S.A.</v>
      </c>
      <c r="C3" s="334"/>
      <c r="D3" s="334"/>
      <c r="E3" s="334"/>
      <c r="F3" s="334"/>
      <c r="G3" s="334"/>
      <c r="H3" s="334"/>
      <c r="I3" s="36"/>
      <c r="J3" s="210"/>
      <c r="K3" s="3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row>
    <row r="4" spans="1:57" s="34" customFormat="1" ht="20.100000000000001" customHeight="1" x14ac:dyDescent="0.25">
      <c r="A4" s="35"/>
      <c r="B4" s="334"/>
      <c r="C4" s="334"/>
      <c r="D4" s="334"/>
      <c r="E4" s="334"/>
      <c r="F4" s="334"/>
      <c r="G4" s="334"/>
      <c r="H4" s="334"/>
      <c r="I4" s="36"/>
      <c r="J4" s="211"/>
      <c r="K4" s="37"/>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34" customFormat="1" ht="20.100000000000001" customHeight="1" x14ac:dyDescent="0.25">
      <c r="A5" s="35"/>
      <c r="B5" s="334" t="str">
        <f>RESUMEN!B5</f>
        <v>LICITACIÓN PRIVADA ABIERTA N° 007 DE 2018</v>
      </c>
      <c r="C5" s="334"/>
      <c r="D5" s="334"/>
      <c r="E5" s="334"/>
      <c r="F5" s="334"/>
      <c r="G5" s="334"/>
      <c r="H5" s="334"/>
      <c r="I5" s="36"/>
      <c r="J5" s="35"/>
      <c r="K5" s="37"/>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34" customFormat="1" ht="18.75" x14ac:dyDescent="0.25">
      <c r="A6" s="35"/>
      <c r="B6" s="49"/>
      <c r="C6" s="31"/>
      <c r="D6" s="32"/>
      <c r="E6" s="32"/>
      <c r="F6" s="32"/>
      <c r="G6" s="32"/>
      <c r="H6" s="32"/>
      <c r="I6" s="36"/>
      <c r="J6" s="35"/>
      <c r="K6" s="37"/>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34" customFormat="1" ht="36.75" customHeight="1" x14ac:dyDescent="0.25">
      <c r="A7" s="35"/>
      <c r="B7" s="334" t="str">
        <f>RESUMEN!B7</f>
        <v>PROYECTO No. 1: MEJORAMIENTO DE VÍA MEDIANTE LA PAVIMENTACIÓN DE LA VÍA SAN PEDRO - ARIZONA, SEGUNDA ETAPA ABSC K3+743 A K6+543 Y DE K25+427 HASTA K27+927, MUNICIPIO DE PUERTO CAICEDO, DEPARTAMENTO DE PUTUMAYO VINCULADOS AL CONTRIBUYENTE ECOPETROL S.A. DENTRO DEL MARCO DEL MECANISMO DE OBRAS POR IMPUESTOS</v>
      </c>
      <c r="C7" s="334"/>
      <c r="D7" s="334"/>
      <c r="E7" s="334"/>
      <c r="F7" s="334"/>
      <c r="G7" s="334"/>
      <c r="H7" s="334"/>
      <c r="I7" s="36"/>
      <c r="J7" s="35"/>
      <c r="K7" s="3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34" customFormat="1" ht="18.75" x14ac:dyDescent="0.25">
      <c r="A8" s="35"/>
      <c r="B8" s="49"/>
      <c r="C8" s="31"/>
      <c r="D8" s="32"/>
      <c r="E8" s="32"/>
      <c r="F8" s="32"/>
      <c r="G8" s="32"/>
      <c r="H8" s="32"/>
      <c r="I8" s="36"/>
      <c r="J8" s="35"/>
      <c r="K8" s="37"/>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17" customFormat="1" ht="13.5" thickBot="1" x14ac:dyDescent="0.25">
      <c r="A9" s="21"/>
      <c r="B9" s="345" t="s">
        <v>85</v>
      </c>
      <c r="C9" s="345"/>
      <c r="D9" s="345"/>
      <c r="E9" s="345"/>
      <c r="F9" s="345"/>
      <c r="G9" s="345"/>
      <c r="H9" s="345"/>
      <c r="I9" s="26"/>
      <c r="J9" s="25"/>
      <c r="K9" s="25"/>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s="8" customFormat="1" ht="20.100000000000001" customHeight="1" thickTop="1" thickBot="1" x14ac:dyDescent="0.25">
      <c r="A10" s="18"/>
      <c r="B10" s="50"/>
      <c r="C10" s="13"/>
      <c r="D10" s="19"/>
      <c r="E10" s="20"/>
      <c r="F10" s="20"/>
      <c r="G10" s="24"/>
      <c r="H10" s="27"/>
      <c r="I10" s="372" t="str">
        <f>RESUMEN!$E$15</f>
        <v>ADMISIBLE</v>
      </c>
      <c r="J10" s="372"/>
      <c r="K10" s="372"/>
      <c r="L10" s="372" t="str">
        <f>RESUMEN!$E$16</f>
        <v>ADMISIBLE</v>
      </c>
      <c r="M10" s="372"/>
      <c r="N10" s="372"/>
      <c r="O10" s="372" t="str">
        <f>RESUMEN!$E$17</f>
        <v>ADMISIBLE</v>
      </c>
      <c r="P10" s="372"/>
      <c r="Q10" s="372"/>
      <c r="R10" s="372" t="str">
        <f>RESUMEN!$E$18</f>
        <v>ADMISIBLE</v>
      </c>
      <c r="S10" s="372"/>
      <c r="T10" s="372"/>
      <c r="U10" s="372" t="str">
        <f>RESUMEN!$E$19</f>
        <v>RECHAZO</v>
      </c>
      <c r="V10" s="372"/>
      <c r="W10" s="372"/>
      <c r="X10" s="372" t="str">
        <f>RESUMEN!$E$20</f>
        <v>RECHAZO</v>
      </c>
      <c r="Y10" s="372"/>
      <c r="Z10" s="372"/>
      <c r="AA10" s="372" t="str">
        <f>RESUMEN!$E$21</f>
        <v>ADMISIBLE</v>
      </c>
      <c r="AB10" s="372"/>
      <c r="AC10" s="372"/>
      <c r="AD10" s="372" t="str">
        <f>RESUMEN!$E$22</f>
        <v>ADMISIBLE</v>
      </c>
      <c r="AE10" s="372"/>
      <c r="AF10" s="372"/>
      <c r="AG10" s="372" t="str">
        <f>RESUMEN!$E$23</f>
        <v>RECHAZO</v>
      </c>
      <c r="AH10" s="372"/>
      <c r="AI10" s="372"/>
      <c r="AJ10" s="372" t="str">
        <f>RESUMEN!$E$24</f>
        <v>RECHAZO</v>
      </c>
      <c r="AK10" s="372"/>
      <c r="AL10" s="372"/>
      <c r="AM10" s="372" t="str">
        <f>RESUMEN!$E$25</f>
        <v>RECHAZO</v>
      </c>
      <c r="AN10" s="372"/>
      <c r="AO10" s="372"/>
      <c r="AP10" s="372" t="str">
        <f>RESUMEN!$E$26</f>
        <v>RECHAZO</v>
      </c>
      <c r="AQ10" s="372"/>
      <c r="AR10" s="372"/>
      <c r="AS10" s="372" t="str">
        <f>RESUMEN!$E$27</f>
        <v>ADMISIBLE</v>
      </c>
      <c r="AT10" s="372"/>
      <c r="AU10" s="372"/>
      <c r="AV10" s="372" t="str">
        <f>RESUMEN!$E$28</f>
        <v>RECHAZO</v>
      </c>
      <c r="AW10" s="372"/>
      <c r="AX10" s="372"/>
      <c r="AY10" s="372" t="str">
        <f>RESUMEN!$E$29</f>
        <v>ADMISIBLE</v>
      </c>
      <c r="AZ10" s="372"/>
      <c r="BA10" s="372"/>
      <c r="BB10" s="372" t="str">
        <f>RESUMEN!$E$30</f>
        <v>ADMISIBLE</v>
      </c>
      <c r="BC10" s="372"/>
      <c r="BD10" s="372"/>
      <c r="BE10"/>
    </row>
    <row r="11" spans="1:57" s="9" customFormat="1" ht="20.25" customHeight="1" thickTop="1" x14ac:dyDescent="0.25">
      <c r="A11" s="22"/>
      <c r="B11" s="368"/>
      <c r="C11" s="368"/>
      <c r="D11" s="368"/>
      <c r="E11" s="368"/>
      <c r="F11" s="368"/>
      <c r="G11" s="368"/>
      <c r="H11" s="368"/>
      <c r="I11" s="370">
        <f>RESUMEN!$C$15</f>
        <v>2</v>
      </c>
      <c r="J11" s="370"/>
      <c r="K11" s="370"/>
      <c r="L11" s="370">
        <f>RESUMEN!$C$16</f>
        <v>4</v>
      </c>
      <c r="M11" s="370"/>
      <c r="N11" s="370"/>
      <c r="O11" s="370">
        <f>RESUMEN!$C$17</f>
        <v>12</v>
      </c>
      <c r="P11" s="370"/>
      <c r="Q11" s="370"/>
      <c r="R11" s="370">
        <f>RESUMEN!$C$18</f>
        <v>14</v>
      </c>
      <c r="S11" s="370"/>
      <c r="T11" s="370"/>
      <c r="U11" s="370">
        <f>RESUMEN!$C$19</f>
        <v>15</v>
      </c>
      <c r="V11" s="370"/>
      <c r="W11" s="370"/>
      <c r="X11" s="370">
        <f>RESUMEN!$C$20</f>
        <v>16</v>
      </c>
      <c r="Y11" s="370"/>
      <c r="Z11" s="370"/>
      <c r="AA11" s="370">
        <f>RESUMEN!$C$21</f>
        <v>17</v>
      </c>
      <c r="AB11" s="370"/>
      <c r="AC11" s="370"/>
      <c r="AD11" s="370">
        <f>RESUMEN!$C$22</f>
        <v>18</v>
      </c>
      <c r="AE11" s="370"/>
      <c r="AF11" s="370"/>
      <c r="AG11" s="370">
        <f>RESUMEN!$C$23</f>
        <v>19</v>
      </c>
      <c r="AH11" s="370"/>
      <c r="AI11" s="370"/>
      <c r="AJ11" s="370">
        <f>RESUMEN!$C$24</f>
        <v>20</v>
      </c>
      <c r="AK11" s="370"/>
      <c r="AL11" s="370"/>
      <c r="AM11" s="370">
        <f>RESUMEN!$C$25</f>
        <v>21</v>
      </c>
      <c r="AN11" s="370"/>
      <c r="AO11" s="370"/>
      <c r="AP11" s="370">
        <f>RESUMEN!$C$26</f>
        <v>22</v>
      </c>
      <c r="AQ11" s="370"/>
      <c r="AR11" s="370"/>
      <c r="AS11" s="370">
        <f>RESUMEN!$C$27</f>
        <v>24</v>
      </c>
      <c r="AT11" s="370"/>
      <c r="AU11" s="370"/>
      <c r="AV11" s="370">
        <f>RESUMEN!$C$28</f>
        <v>26</v>
      </c>
      <c r="AW11" s="370"/>
      <c r="AX11" s="370"/>
      <c r="AY11" s="370">
        <f>RESUMEN!$C$29</f>
        <v>27</v>
      </c>
      <c r="AZ11" s="370"/>
      <c r="BA11" s="370"/>
      <c r="BB11" s="370">
        <f>RESUMEN!$C$30</f>
        <v>28</v>
      </c>
      <c r="BC11" s="370"/>
      <c r="BD11" s="370"/>
      <c r="BE11"/>
    </row>
    <row r="12" spans="1:57" s="10" customFormat="1" ht="17.25" customHeight="1" thickBot="1" x14ac:dyDescent="0.25">
      <c r="A12" s="30"/>
      <c r="B12" s="369" t="s">
        <v>0</v>
      </c>
      <c r="C12" s="369"/>
      <c r="D12" s="369"/>
      <c r="E12" s="369"/>
      <c r="F12" s="369"/>
      <c r="G12" s="369"/>
      <c r="H12" s="369"/>
      <c r="I12" s="371" t="str">
        <f>RESUMEN!$D$15</f>
        <v>CONSORCIO NUEVAS VIAS 2018</v>
      </c>
      <c r="J12" s="371"/>
      <c r="K12" s="371"/>
      <c r="L12" s="371" t="str">
        <f>RESUMEN!$D$16</f>
        <v>UNION TEMPORAL ZRE PUERTO CAICEDO</v>
      </c>
      <c r="M12" s="371"/>
      <c r="N12" s="371"/>
      <c r="O12" s="371" t="str">
        <f>RESUMEN!$D$17</f>
        <v>TRAINING TRABAJOS DE INGENIERIA SAS</v>
      </c>
      <c r="P12" s="371"/>
      <c r="Q12" s="371"/>
      <c r="R12" s="371" t="str">
        <f>RESUMEN!$D$18</f>
        <v>CONSORCIO ALIANZA</v>
      </c>
      <c r="S12" s="371"/>
      <c r="T12" s="371"/>
      <c r="U12" s="371" t="str">
        <f>RESUMEN!$D$19</f>
        <v>CONSORCIO ARIZONA</v>
      </c>
      <c r="V12" s="371"/>
      <c r="W12" s="371"/>
      <c r="X12" s="371" t="str">
        <f>RESUMEN!$D$20</f>
        <v>CONSORCIO PROYECTO 1</v>
      </c>
      <c r="Y12" s="371"/>
      <c r="Z12" s="371"/>
      <c r="AA12" s="371" t="str">
        <f>RESUMEN!$D$21</f>
        <v>CONSORCIO VIAS NACIONALES 007</v>
      </c>
      <c r="AB12" s="371"/>
      <c r="AC12" s="371"/>
      <c r="AD12" s="371" t="str">
        <f>RESUMEN!$D$22</f>
        <v>KMC SAS</v>
      </c>
      <c r="AE12" s="371"/>
      <c r="AF12" s="371"/>
      <c r="AG12" s="371" t="str">
        <f>RESUMEN!$D$23</f>
        <v>UNION TEMPORAL MDF</v>
      </c>
      <c r="AH12" s="371"/>
      <c r="AI12" s="371"/>
      <c r="AJ12" s="371" t="str">
        <f>RESUMEN!$D$24</f>
        <v>CONSORCIO PAVIMENTOS 2018</v>
      </c>
      <c r="AK12" s="371"/>
      <c r="AL12" s="371"/>
      <c r="AM12" s="371" t="str">
        <f>RESUMEN!$D$25</f>
        <v>CONSORCIO SAN PEDRO PG</v>
      </c>
      <c r="AN12" s="371"/>
      <c r="AO12" s="371"/>
      <c r="AP12" s="371" t="str">
        <f>RESUMEN!$D$26</f>
        <v>CONSORCIO MANZANARES</v>
      </c>
      <c r="AQ12" s="371"/>
      <c r="AR12" s="371"/>
      <c r="AS12" s="371" t="str">
        <f>RESUMEN!$D$27</f>
        <v>CONSORCIO OBRAS MI</v>
      </c>
      <c r="AT12" s="371"/>
      <c r="AU12" s="371"/>
      <c r="AV12" s="371" t="str">
        <f>RESUMEN!$D$28</f>
        <v>CONSORCIO VIAL PUTUMAYO</v>
      </c>
      <c r="AW12" s="371"/>
      <c r="AX12" s="371"/>
      <c r="AY12" s="371" t="str">
        <f>RESUMEN!$D$29</f>
        <v>UNION TEMPORAL PAVIMENTOS ARIZONA</v>
      </c>
      <c r="AZ12" s="371"/>
      <c r="BA12" s="371"/>
      <c r="BB12" s="371" t="str">
        <f>RESUMEN!$D$30</f>
        <v>OBRAS CIVILES Y EQUIPOS SAS – OCIEQUIPOS SAS</v>
      </c>
      <c r="BC12" s="371"/>
      <c r="BD12" s="371"/>
      <c r="BE12"/>
    </row>
    <row r="13" spans="1:57" ht="36" customHeight="1" thickBot="1" x14ac:dyDescent="0.25">
      <c r="A13" s="11"/>
      <c r="B13" s="213" t="s">
        <v>11</v>
      </c>
      <c r="C13" s="214" t="s">
        <v>113</v>
      </c>
      <c r="D13" s="215" t="s">
        <v>98</v>
      </c>
      <c r="E13" s="215" t="s">
        <v>1</v>
      </c>
      <c r="F13" s="216" t="s">
        <v>7</v>
      </c>
      <c r="G13" s="215" t="s">
        <v>114</v>
      </c>
      <c r="H13" s="218" t="s">
        <v>40</v>
      </c>
      <c r="I13" s="219" t="s">
        <v>114</v>
      </c>
      <c r="J13" s="215" t="s">
        <v>2</v>
      </c>
      <c r="K13" s="217" t="s">
        <v>3</v>
      </c>
      <c r="L13" s="219" t="s">
        <v>114</v>
      </c>
      <c r="M13" s="215" t="s">
        <v>2</v>
      </c>
      <c r="N13" s="217" t="s">
        <v>3</v>
      </c>
      <c r="O13" s="219" t="s">
        <v>114</v>
      </c>
      <c r="P13" s="215" t="s">
        <v>2</v>
      </c>
      <c r="Q13" s="217" t="s">
        <v>3</v>
      </c>
      <c r="R13" s="219" t="s">
        <v>114</v>
      </c>
      <c r="S13" s="215" t="s">
        <v>2</v>
      </c>
      <c r="T13" s="217" t="s">
        <v>3</v>
      </c>
      <c r="U13" s="219" t="s">
        <v>114</v>
      </c>
      <c r="V13" s="215" t="s">
        <v>2</v>
      </c>
      <c r="W13" s="217" t="s">
        <v>3</v>
      </c>
      <c r="X13" s="219" t="s">
        <v>114</v>
      </c>
      <c r="Y13" s="215" t="s">
        <v>2</v>
      </c>
      <c r="Z13" s="217" t="s">
        <v>3</v>
      </c>
      <c r="AA13" s="219" t="s">
        <v>114</v>
      </c>
      <c r="AB13" s="215" t="s">
        <v>2</v>
      </c>
      <c r="AC13" s="217" t="s">
        <v>3</v>
      </c>
      <c r="AD13" s="219" t="s">
        <v>114</v>
      </c>
      <c r="AE13" s="215" t="s">
        <v>2</v>
      </c>
      <c r="AF13" s="217" t="s">
        <v>3</v>
      </c>
      <c r="AG13" s="219" t="s">
        <v>114</v>
      </c>
      <c r="AH13" s="215" t="s">
        <v>2</v>
      </c>
      <c r="AI13" s="217" t="s">
        <v>3</v>
      </c>
      <c r="AJ13" s="219" t="s">
        <v>114</v>
      </c>
      <c r="AK13" s="215" t="s">
        <v>2</v>
      </c>
      <c r="AL13" s="217" t="s">
        <v>3</v>
      </c>
      <c r="AM13" s="219" t="s">
        <v>114</v>
      </c>
      <c r="AN13" s="215" t="s">
        <v>2</v>
      </c>
      <c r="AO13" s="217" t="s">
        <v>3</v>
      </c>
      <c r="AP13" s="219" t="s">
        <v>114</v>
      </c>
      <c r="AQ13" s="215" t="s">
        <v>2</v>
      </c>
      <c r="AR13" s="217" t="s">
        <v>3</v>
      </c>
      <c r="AS13" s="219" t="s">
        <v>114</v>
      </c>
      <c r="AT13" s="215" t="s">
        <v>2</v>
      </c>
      <c r="AU13" s="217" t="s">
        <v>3</v>
      </c>
      <c r="AV13" s="219" t="s">
        <v>114</v>
      </c>
      <c r="AW13" s="215" t="s">
        <v>2</v>
      </c>
      <c r="AX13" s="217" t="s">
        <v>3</v>
      </c>
      <c r="AY13" s="219" t="s">
        <v>114</v>
      </c>
      <c r="AZ13" s="215" t="s">
        <v>2</v>
      </c>
      <c r="BA13" s="217" t="s">
        <v>3</v>
      </c>
      <c r="BB13" s="219" t="s">
        <v>114</v>
      </c>
      <c r="BC13" s="215" t="s">
        <v>2</v>
      </c>
      <c r="BD13" s="217" t="s">
        <v>3</v>
      </c>
    </row>
    <row r="14" spans="1:57" ht="20.45" customHeight="1" x14ac:dyDescent="0.2">
      <c r="A14" s="11"/>
      <c r="B14" s="165" t="s">
        <v>134</v>
      </c>
      <c r="C14" s="166"/>
      <c r="D14" s="166"/>
      <c r="E14" s="166"/>
      <c r="F14" s="200"/>
      <c r="G14" s="166"/>
      <c r="H14" s="194">
        <f>SUM(H15:H15)</f>
        <v>58089325</v>
      </c>
      <c r="I14" s="195"/>
      <c r="J14" s="196">
        <f>SUM(J15:J15)</f>
        <v>58089325</v>
      </c>
      <c r="K14" s="197"/>
      <c r="L14" s="195"/>
      <c r="M14" s="196">
        <f t="shared" ref="M14" si="0">SUM(M15:M15)</f>
        <v>56725900</v>
      </c>
      <c r="N14" s="197"/>
      <c r="O14" s="195"/>
      <c r="P14" s="196">
        <f t="shared" ref="P14" si="1">SUM(P15:P15)</f>
        <v>58089325</v>
      </c>
      <c r="Q14" s="197"/>
      <c r="R14" s="195"/>
      <c r="S14" s="196">
        <f t="shared" ref="S14:BC14" si="2">SUM(S15:S15)</f>
        <v>58089325</v>
      </c>
      <c r="T14" s="197"/>
      <c r="U14" s="195"/>
      <c r="V14" s="196">
        <f t="shared" si="2"/>
        <v>0</v>
      </c>
      <c r="W14" s="197"/>
      <c r="X14" s="195"/>
      <c r="Y14" s="196">
        <f t="shared" si="2"/>
        <v>0</v>
      </c>
      <c r="Z14" s="197"/>
      <c r="AA14" s="195"/>
      <c r="AB14" s="196">
        <f t="shared" si="2"/>
        <v>58089325</v>
      </c>
      <c r="AC14" s="197"/>
      <c r="AD14" s="195"/>
      <c r="AE14" s="196">
        <f t="shared" si="2"/>
        <v>58089325</v>
      </c>
      <c r="AF14" s="197"/>
      <c r="AG14" s="195"/>
      <c r="AH14" s="196">
        <f t="shared" si="2"/>
        <v>0</v>
      </c>
      <c r="AI14" s="197"/>
      <c r="AJ14" s="195"/>
      <c r="AK14" s="196">
        <f t="shared" si="2"/>
        <v>0</v>
      </c>
      <c r="AL14" s="197"/>
      <c r="AM14" s="195"/>
      <c r="AN14" s="196">
        <f t="shared" si="2"/>
        <v>0</v>
      </c>
      <c r="AO14" s="197"/>
      <c r="AP14" s="195"/>
      <c r="AQ14" s="196">
        <f t="shared" si="2"/>
        <v>0</v>
      </c>
      <c r="AR14" s="197"/>
      <c r="AS14" s="195"/>
      <c r="AT14" s="196">
        <f t="shared" si="2"/>
        <v>57505000</v>
      </c>
      <c r="AU14" s="197"/>
      <c r="AV14" s="195"/>
      <c r="AW14" s="196">
        <f t="shared" si="2"/>
        <v>0</v>
      </c>
      <c r="AX14" s="197"/>
      <c r="AY14" s="195"/>
      <c r="AZ14" s="196">
        <f t="shared" si="2"/>
        <v>58089325</v>
      </c>
      <c r="BA14" s="197"/>
      <c r="BB14" s="195"/>
      <c r="BC14" s="196">
        <f t="shared" si="2"/>
        <v>58089325</v>
      </c>
      <c r="BD14" s="197"/>
    </row>
    <row r="15" spans="1:57" ht="40.5" customHeight="1" thickBot="1" x14ac:dyDescent="0.25">
      <c r="A15" s="11"/>
      <c r="B15" s="167">
        <v>1</v>
      </c>
      <c r="C15" s="168" t="s">
        <v>99</v>
      </c>
      <c r="D15" s="169" t="s">
        <v>140</v>
      </c>
      <c r="E15" s="168" t="s">
        <v>105</v>
      </c>
      <c r="F15" s="199">
        <v>9275</v>
      </c>
      <c r="G15" s="287">
        <v>6263</v>
      </c>
      <c r="H15" s="170">
        <f>ROUND(G15*F15,0)</f>
        <v>58089325</v>
      </c>
      <c r="I15" s="290">
        <v>6263</v>
      </c>
      <c r="J15" s="171">
        <f>ROUND($F15*I15,0)</f>
        <v>58089325</v>
      </c>
      <c r="K15" s="172" t="str">
        <f>+IF(I15&gt;0,IF(OR(I15&gt;$G15,ROUND(I15,0)&gt;$G15),"NO VÁLIDA","VÁLIDA"),"NO VÁLIDA")</f>
        <v>VÁLIDA</v>
      </c>
      <c r="L15" s="290">
        <v>6116</v>
      </c>
      <c r="M15" s="171">
        <f t="shared" ref="M15" si="3">ROUND($F15*L15,0)</f>
        <v>56725900</v>
      </c>
      <c r="N15" s="172" t="str">
        <f t="shared" ref="N15" si="4">+IF(L15&gt;0,IF(OR(L15&gt;$G15,ROUND(L15,0)&gt;$G15),"NO VÁLIDA","VÁLIDA"),"NO VÁLIDA")</f>
        <v>VÁLIDA</v>
      </c>
      <c r="O15" s="290">
        <v>6263</v>
      </c>
      <c r="P15" s="171">
        <f t="shared" ref="P15" si="5">ROUND($F15*O15,0)</f>
        <v>58089325</v>
      </c>
      <c r="Q15" s="172" t="str">
        <f t="shared" ref="Q15" si="6">+IF(O15&gt;0,IF(OR(O15&gt;$G15,ROUND(O15,0)&gt;$G15),"NO VÁLIDA","VÁLIDA"),"NO VÁLIDA")</f>
        <v>VÁLIDA</v>
      </c>
      <c r="R15" s="290">
        <v>6263</v>
      </c>
      <c r="S15" s="171">
        <f t="shared" ref="S15" si="7">ROUND($F15*R15,0)</f>
        <v>58089325</v>
      </c>
      <c r="T15" s="172" t="str">
        <f t="shared" ref="T15" si="8">+IF(R15&gt;0,IF(OR(R15&gt;$G15,ROUND(R15,0)&gt;$G15),"NO VÁLIDA","VÁLIDA"),"NO VÁLIDA")</f>
        <v>VÁLIDA</v>
      </c>
      <c r="U15" s="290"/>
      <c r="V15" s="171">
        <f t="shared" ref="V15" si="9">ROUND($F15*U15,0)</f>
        <v>0</v>
      </c>
      <c r="W15" s="172" t="str">
        <f t="shared" ref="W15" si="10">+IF(U15&gt;0,IF(OR(U15&gt;$G15,ROUND(U15,0)&gt;$G15),"NO VÁLIDA","VÁLIDA"),"NO VÁLIDA")</f>
        <v>NO VÁLIDA</v>
      </c>
      <c r="X15" s="290"/>
      <c r="Y15" s="171">
        <f t="shared" ref="Y15" si="11">ROUND($F15*X15,0)</f>
        <v>0</v>
      </c>
      <c r="Z15" s="172" t="str">
        <f t="shared" ref="Z15" si="12">+IF(X15&gt;0,IF(OR(X15&gt;$G15,ROUND(X15,0)&gt;$G15),"NO VÁLIDA","VÁLIDA"),"NO VÁLIDA")</f>
        <v>NO VÁLIDA</v>
      </c>
      <c r="AA15" s="290">
        <v>6263</v>
      </c>
      <c r="AB15" s="171">
        <f t="shared" ref="AB15" si="13">ROUND($F15*AA15,0)</f>
        <v>58089325</v>
      </c>
      <c r="AC15" s="172" t="str">
        <f t="shared" ref="AC15" si="14">+IF(AA15&gt;0,IF(OR(AA15&gt;$G15,ROUND(AA15,0)&gt;$G15),"NO VÁLIDA","VÁLIDA"),"NO VÁLIDA")</f>
        <v>VÁLIDA</v>
      </c>
      <c r="AD15" s="290">
        <v>6263</v>
      </c>
      <c r="AE15" s="171">
        <f t="shared" ref="AE15" si="15">ROUND($F15*AD15,0)</f>
        <v>58089325</v>
      </c>
      <c r="AF15" s="172" t="str">
        <f t="shared" ref="AF15" si="16">+IF(AD15&gt;0,IF(OR(AD15&gt;$G15,ROUND(AD15,0)&gt;$G15),"NO VÁLIDA","VÁLIDA"),"NO VÁLIDA")</f>
        <v>VÁLIDA</v>
      </c>
      <c r="AG15" s="290"/>
      <c r="AH15" s="171">
        <f t="shared" ref="AH15" si="17">ROUND($F15*AG15,0)</f>
        <v>0</v>
      </c>
      <c r="AI15" s="172" t="str">
        <f t="shared" ref="AI15" si="18">+IF(AG15&gt;0,IF(OR(AG15&gt;$G15,ROUND(AG15,0)&gt;$G15),"NO VÁLIDA","VÁLIDA"),"NO VÁLIDA")</f>
        <v>NO VÁLIDA</v>
      </c>
      <c r="AJ15" s="290"/>
      <c r="AK15" s="171">
        <f t="shared" ref="AK15" si="19">ROUND($F15*AJ15,0)</f>
        <v>0</v>
      </c>
      <c r="AL15" s="172" t="str">
        <f t="shared" ref="AL15" si="20">+IF(AJ15&gt;0,IF(OR(AJ15&gt;$G15,ROUND(AJ15,0)&gt;$G15),"NO VÁLIDA","VÁLIDA"),"NO VÁLIDA")</f>
        <v>NO VÁLIDA</v>
      </c>
      <c r="AM15" s="290"/>
      <c r="AN15" s="171">
        <f t="shared" ref="AN15" si="21">ROUND($F15*AM15,0)</f>
        <v>0</v>
      </c>
      <c r="AO15" s="172" t="str">
        <f t="shared" ref="AO15" si="22">+IF(AM15&gt;0,IF(OR(AM15&gt;$G15,ROUND(AM15,0)&gt;$G15),"NO VÁLIDA","VÁLIDA"),"NO VÁLIDA")</f>
        <v>NO VÁLIDA</v>
      </c>
      <c r="AP15" s="290"/>
      <c r="AQ15" s="171">
        <f t="shared" ref="AQ15" si="23">ROUND($F15*AP15,0)</f>
        <v>0</v>
      </c>
      <c r="AR15" s="172" t="str">
        <f t="shared" ref="AR15" si="24">+IF(AP15&gt;0,IF(OR(AP15&gt;$G15,ROUND(AP15,0)&gt;$G15),"NO VÁLIDA","VÁLIDA"),"NO VÁLIDA")</f>
        <v>NO VÁLIDA</v>
      </c>
      <c r="AS15" s="290">
        <v>6200</v>
      </c>
      <c r="AT15" s="171">
        <f t="shared" ref="AT15" si="25">ROUND($F15*AS15,0)</f>
        <v>57505000</v>
      </c>
      <c r="AU15" s="172" t="str">
        <f t="shared" ref="AU15" si="26">+IF(AS15&gt;0,IF(OR(AS15&gt;$G15,ROUND(AS15,0)&gt;$G15),"NO VÁLIDA","VÁLIDA"),"NO VÁLIDA")</f>
        <v>VÁLIDA</v>
      </c>
      <c r="AV15" s="290"/>
      <c r="AW15" s="171">
        <f t="shared" ref="AW15" si="27">ROUND($F15*AV15,0)</f>
        <v>0</v>
      </c>
      <c r="AX15" s="172" t="str">
        <f t="shared" ref="AX15" si="28">+IF(AV15&gt;0,IF(OR(AV15&gt;$G15,ROUND(AV15,0)&gt;$G15),"NO VÁLIDA","VÁLIDA"),"NO VÁLIDA")</f>
        <v>NO VÁLIDA</v>
      </c>
      <c r="AY15" s="290">
        <v>6263</v>
      </c>
      <c r="AZ15" s="171">
        <f t="shared" ref="AZ15" si="29">ROUND($F15*AY15,0)</f>
        <v>58089325</v>
      </c>
      <c r="BA15" s="172" t="str">
        <f t="shared" ref="BA15" si="30">+IF(AY15&gt;0,IF(OR(AY15&gt;$G15,ROUND(AY15,0)&gt;$G15),"NO VÁLIDA","VÁLIDA"),"NO VÁLIDA")</f>
        <v>VÁLIDA</v>
      </c>
      <c r="BB15" s="290">
        <v>6263</v>
      </c>
      <c r="BC15" s="171">
        <f t="shared" ref="BC15" si="31">ROUND($F15*BB15,0)</f>
        <v>58089325</v>
      </c>
      <c r="BD15" s="172" t="str">
        <f t="shared" ref="BD15" si="32">+IF(BB15&gt;0,IF(OR(BB15&gt;$G15,ROUND(BB15,0)&gt;$G15),"NO VÁLIDA","VÁLIDA"),"NO VÁLIDA")</f>
        <v>VÁLIDA</v>
      </c>
    </row>
    <row r="16" spans="1:57" ht="20.45" customHeight="1" x14ac:dyDescent="0.2">
      <c r="A16" s="11"/>
      <c r="B16" s="165" t="s">
        <v>135</v>
      </c>
      <c r="C16" s="166"/>
      <c r="D16" s="166"/>
      <c r="E16" s="166"/>
      <c r="F16" s="200"/>
      <c r="G16" s="288"/>
      <c r="H16" s="194">
        <f>SUM(H17:H19)</f>
        <v>1202229298</v>
      </c>
      <c r="I16" s="291"/>
      <c r="J16" s="196">
        <f>SUM(J17:J19)</f>
        <v>1169311600</v>
      </c>
      <c r="K16" s="197"/>
      <c r="L16" s="291"/>
      <c r="M16" s="196">
        <f t="shared" ref="M16" si="33">SUM(M17:M19)</f>
        <v>1177540597</v>
      </c>
      <c r="N16" s="197"/>
      <c r="O16" s="291"/>
      <c r="P16" s="196">
        <f t="shared" ref="P16" si="34">SUM(P17:P19)</f>
        <v>1159590484</v>
      </c>
      <c r="Q16" s="197"/>
      <c r="R16" s="291"/>
      <c r="S16" s="196">
        <f t="shared" ref="S16:BC16" si="35">SUM(S17:S19)</f>
        <v>1202229298</v>
      </c>
      <c r="T16" s="197"/>
      <c r="U16" s="291"/>
      <c r="V16" s="196">
        <f t="shared" si="35"/>
        <v>0</v>
      </c>
      <c r="W16" s="197"/>
      <c r="X16" s="291"/>
      <c r="Y16" s="196">
        <f t="shared" si="35"/>
        <v>0</v>
      </c>
      <c r="Z16" s="197"/>
      <c r="AA16" s="291"/>
      <c r="AB16" s="196">
        <f t="shared" si="35"/>
        <v>1196970706</v>
      </c>
      <c r="AC16" s="197"/>
      <c r="AD16" s="291"/>
      <c r="AE16" s="196">
        <f t="shared" si="35"/>
        <v>1168314400</v>
      </c>
      <c r="AF16" s="197"/>
      <c r="AG16" s="291"/>
      <c r="AH16" s="196">
        <f t="shared" si="35"/>
        <v>0</v>
      </c>
      <c r="AI16" s="197"/>
      <c r="AJ16" s="291"/>
      <c r="AK16" s="196">
        <f t="shared" si="35"/>
        <v>0</v>
      </c>
      <c r="AL16" s="197"/>
      <c r="AM16" s="291"/>
      <c r="AN16" s="196">
        <f t="shared" si="35"/>
        <v>0</v>
      </c>
      <c r="AO16" s="197"/>
      <c r="AP16" s="291"/>
      <c r="AQ16" s="196">
        <f t="shared" si="35"/>
        <v>0</v>
      </c>
      <c r="AR16" s="197"/>
      <c r="AS16" s="291"/>
      <c r="AT16" s="196">
        <f t="shared" si="35"/>
        <v>1194278000</v>
      </c>
      <c r="AU16" s="197"/>
      <c r="AV16" s="291"/>
      <c r="AW16" s="196">
        <f t="shared" si="35"/>
        <v>0</v>
      </c>
      <c r="AX16" s="197"/>
      <c r="AY16" s="291"/>
      <c r="AZ16" s="196">
        <f t="shared" si="35"/>
        <v>1202229298</v>
      </c>
      <c r="BA16" s="197"/>
      <c r="BB16" s="291"/>
      <c r="BC16" s="196">
        <f t="shared" si="35"/>
        <v>1202229298</v>
      </c>
      <c r="BD16" s="197"/>
    </row>
    <row r="17" spans="1:56" ht="40.5" customHeight="1" x14ac:dyDescent="0.2">
      <c r="A17" s="11"/>
      <c r="B17" s="167">
        <v>2</v>
      </c>
      <c r="C17" s="168" t="s">
        <v>115</v>
      </c>
      <c r="D17" s="169" t="s">
        <v>141</v>
      </c>
      <c r="E17" s="168" t="s">
        <v>106</v>
      </c>
      <c r="F17" s="199">
        <v>37100</v>
      </c>
      <c r="G17" s="287">
        <v>716</v>
      </c>
      <c r="H17" s="170">
        <f t="shared" ref="H17:H19" si="36">ROUND(G17*F17,0)</f>
        <v>26563600</v>
      </c>
      <c r="I17" s="290">
        <v>716</v>
      </c>
      <c r="J17" s="171">
        <f t="shared" ref="J17:J19" si="37">ROUND($F17*I17,0)</f>
        <v>26563600</v>
      </c>
      <c r="K17" s="172" t="str">
        <f t="shared" ref="K17:K19" si="38">+IF(I17&gt;0,IF(OR(I17&gt;$G17,ROUND(I17,0)&gt;$G17),"NO VÁLIDA","VÁLIDA"),"NO VÁLIDA")</f>
        <v>VÁLIDA</v>
      </c>
      <c r="L17" s="290">
        <v>698</v>
      </c>
      <c r="M17" s="171">
        <f t="shared" ref="M17:P19" si="39">ROUND($F17*L17,0)</f>
        <v>25895800</v>
      </c>
      <c r="N17" s="172" t="str">
        <f t="shared" ref="N17:N19" si="40">+IF(L17&gt;0,IF(OR(L17&gt;$G17,ROUND(L17,0)&gt;$G17),"NO VÁLIDA","VÁLIDA"),"NO VÁLIDA")</f>
        <v>VÁLIDA</v>
      </c>
      <c r="O17" s="290">
        <v>716</v>
      </c>
      <c r="P17" s="171">
        <f t="shared" si="39"/>
        <v>26563600</v>
      </c>
      <c r="Q17" s="172" t="str">
        <f t="shared" ref="Q17:Q19" si="41">+IF(O17&gt;0,IF(OR(O17&gt;$G17,ROUND(O17,0)&gt;$G17),"NO VÁLIDA","VÁLIDA"),"NO VÁLIDA")</f>
        <v>VÁLIDA</v>
      </c>
      <c r="R17" s="290">
        <v>716</v>
      </c>
      <c r="S17" s="171">
        <f t="shared" ref="S17:S19" si="42">ROUND($F17*R17,0)</f>
        <v>26563600</v>
      </c>
      <c r="T17" s="172" t="str">
        <f t="shared" ref="T17:T19" si="43">+IF(R17&gt;0,IF(OR(R17&gt;$G17,ROUND(R17,0)&gt;$G17),"NO VÁLIDA","VÁLIDA"),"NO VÁLIDA")</f>
        <v>VÁLIDA</v>
      </c>
      <c r="U17" s="290"/>
      <c r="V17" s="171">
        <f t="shared" ref="V17:V19" si="44">ROUND($F17*U17,0)</f>
        <v>0</v>
      </c>
      <c r="W17" s="172" t="str">
        <f t="shared" ref="W17:W19" si="45">+IF(U17&gt;0,IF(OR(U17&gt;$G17,ROUND(U17,0)&gt;$G17),"NO VÁLIDA","VÁLIDA"),"NO VÁLIDA")</f>
        <v>NO VÁLIDA</v>
      </c>
      <c r="X17" s="290"/>
      <c r="Y17" s="171">
        <f t="shared" ref="Y17:Y19" si="46">ROUND($F17*X17,0)</f>
        <v>0</v>
      </c>
      <c r="Z17" s="172" t="str">
        <f t="shared" ref="Z17:Z19" si="47">+IF(X17&gt;0,IF(OR(X17&gt;$G17,ROUND(X17,0)&gt;$G17),"NO VÁLIDA","VÁLIDA"),"NO VÁLIDA")</f>
        <v>NO VÁLIDA</v>
      </c>
      <c r="AA17" s="290">
        <v>716</v>
      </c>
      <c r="AB17" s="171">
        <f t="shared" ref="AB17:AB19" si="48">ROUND($F17*AA17,0)</f>
        <v>26563600</v>
      </c>
      <c r="AC17" s="172" t="str">
        <f t="shared" ref="AC17:AC19" si="49">+IF(AA17&gt;0,IF(OR(AA17&gt;$G17,ROUND(AA17,0)&gt;$G17),"NO VÁLIDA","VÁLIDA"),"NO VÁLIDA")</f>
        <v>VÁLIDA</v>
      </c>
      <c r="AD17" s="290">
        <v>716</v>
      </c>
      <c r="AE17" s="171">
        <f t="shared" ref="AE17:AE19" si="50">ROUND($F17*AD17,0)</f>
        <v>26563600</v>
      </c>
      <c r="AF17" s="172" t="str">
        <f t="shared" ref="AF17:AF19" si="51">+IF(AD17&gt;0,IF(OR(AD17&gt;$G17,ROUND(AD17,0)&gt;$G17),"NO VÁLIDA","VÁLIDA"),"NO VÁLIDA")</f>
        <v>VÁLIDA</v>
      </c>
      <c r="AG17" s="290"/>
      <c r="AH17" s="171">
        <f t="shared" ref="AH17:AH19" si="52">ROUND($F17*AG17,0)</f>
        <v>0</v>
      </c>
      <c r="AI17" s="172" t="str">
        <f t="shared" ref="AI17:AI19" si="53">+IF(AG17&gt;0,IF(OR(AG17&gt;$G17,ROUND(AG17,0)&gt;$G17),"NO VÁLIDA","VÁLIDA"),"NO VÁLIDA")</f>
        <v>NO VÁLIDA</v>
      </c>
      <c r="AJ17" s="290"/>
      <c r="AK17" s="171">
        <f t="shared" ref="AK17:AK19" si="54">ROUND($F17*AJ17,0)</f>
        <v>0</v>
      </c>
      <c r="AL17" s="172" t="str">
        <f t="shared" ref="AL17:AL19" si="55">+IF(AJ17&gt;0,IF(OR(AJ17&gt;$G17,ROUND(AJ17,0)&gt;$G17),"NO VÁLIDA","VÁLIDA"),"NO VÁLIDA")</f>
        <v>NO VÁLIDA</v>
      </c>
      <c r="AM17" s="290"/>
      <c r="AN17" s="171">
        <f t="shared" ref="AN17:AN19" si="56">ROUND($F17*AM17,0)</f>
        <v>0</v>
      </c>
      <c r="AO17" s="172" t="str">
        <f t="shared" ref="AO17:AO19" si="57">+IF(AM17&gt;0,IF(OR(AM17&gt;$G17,ROUND(AM17,0)&gt;$G17),"NO VÁLIDA","VÁLIDA"),"NO VÁLIDA")</f>
        <v>NO VÁLIDA</v>
      </c>
      <c r="AP17" s="290"/>
      <c r="AQ17" s="171">
        <f t="shared" ref="AQ17:AQ19" si="58">ROUND($F17*AP17,0)</f>
        <v>0</v>
      </c>
      <c r="AR17" s="172" t="str">
        <f t="shared" ref="AR17:AR19" si="59">+IF(AP17&gt;0,IF(OR(AP17&gt;$G17,ROUND(AP17,0)&gt;$G17),"NO VÁLIDA","VÁLIDA"),"NO VÁLIDA")</f>
        <v>NO VÁLIDA</v>
      </c>
      <c r="AS17" s="290">
        <v>700</v>
      </c>
      <c r="AT17" s="171">
        <f t="shared" ref="AT17:AT19" si="60">ROUND($F17*AS17,0)</f>
        <v>25970000</v>
      </c>
      <c r="AU17" s="172" t="str">
        <f t="shared" ref="AU17:AU19" si="61">+IF(AS17&gt;0,IF(OR(AS17&gt;$G17,ROUND(AS17,0)&gt;$G17),"NO VÁLIDA","VÁLIDA"),"NO VÁLIDA")</f>
        <v>VÁLIDA</v>
      </c>
      <c r="AV17" s="290"/>
      <c r="AW17" s="171">
        <f t="shared" ref="AW17:AW19" si="62">ROUND($F17*AV17,0)</f>
        <v>0</v>
      </c>
      <c r="AX17" s="172" t="str">
        <f t="shared" ref="AX17:AX19" si="63">+IF(AV17&gt;0,IF(OR(AV17&gt;$G17,ROUND(AV17,0)&gt;$G17),"NO VÁLIDA","VÁLIDA"),"NO VÁLIDA")</f>
        <v>NO VÁLIDA</v>
      </c>
      <c r="AY17" s="290">
        <v>716</v>
      </c>
      <c r="AZ17" s="171">
        <f t="shared" ref="AZ17:AZ19" si="64">ROUND($F17*AY17,0)</f>
        <v>26563600</v>
      </c>
      <c r="BA17" s="172" t="str">
        <f t="shared" ref="BA17:BA19" si="65">+IF(AY17&gt;0,IF(OR(AY17&gt;$G17,ROUND(AY17,0)&gt;$G17),"NO VÁLIDA","VÁLIDA"),"NO VÁLIDA")</f>
        <v>VÁLIDA</v>
      </c>
      <c r="BB17" s="290">
        <v>716</v>
      </c>
      <c r="BC17" s="171">
        <f t="shared" ref="BC17:BC19" si="66">ROUND($F17*BB17,0)</f>
        <v>26563600</v>
      </c>
      <c r="BD17" s="172" t="str">
        <f t="shared" ref="BD17:BD19" si="67">+IF(BB17&gt;0,IF(OR(BB17&gt;$G17,ROUND(BB17,0)&gt;$G17),"NO VÁLIDA","VÁLIDA"),"NO VÁLIDA")</f>
        <v>VÁLIDA</v>
      </c>
    </row>
    <row r="18" spans="1:56" ht="30.6" customHeight="1" x14ac:dyDescent="0.2">
      <c r="A18" s="11"/>
      <c r="B18" s="167">
        <v>3</v>
      </c>
      <c r="C18" s="168" t="s">
        <v>116</v>
      </c>
      <c r="D18" s="169" t="s">
        <v>142</v>
      </c>
      <c r="E18" s="168" t="s">
        <v>105</v>
      </c>
      <c r="F18" s="199">
        <v>5301</v>
      </c>
      <c r="G18" s="287">
        <v>100992.00000000003</v>
      </c>
      <c r="H18" s="170">
        <f t="shared" si="36"/>
        <v>535358592</v>
      </c>
      <c r="I18" s="290">
        <v>98000</v>
      </c>
      <c r="J18" s="171">
        <f t="shared" si="37"/>
        <v>519498000</v>
      </c>
      <c r="K18" s="172" t="str">
        <f t="shared" si="38"/>
        <v>VÁLIDA</v>
      </c>
      <c r="L18" s="290">
        <v>98987</v>
      </c>
      <c r="M18" s="171">
        <f t="shared" si="39"/>
        <v>524730087</v>
      </c>
      <c r="N18" s="172" t="str">
        <f t="shared" si="40"/>
        <v>VÁLIDA</v>
      </c>
      <c r="O18" s="290">
        <v>100316</v>
      </c>
      <c r="P18" s="171">
        <f t="shared" si="39"/>
        <v>531775116</v>
      </c>
      <c r="Q18" s="172" t="str">
        <f t="shared" si="41"/>
        <v>VÁLIDA</v>
      </c>
      <c r="R18" s="290">
        <v>100992</v>
      </c>
      <c r="S18" s="171">
        <f t="shared" si="42"/>
        <v>535358592</v>
      </c>
      <c r="T18" s="172" t="str">
        <f t="shared" si="43"/>
        <v>VÁLIDA</v>
      </c>
      <c r="U18" s="290"/>
      <c r="V18" s="171">
        <f t="shared" si="44"/>
        <v>0</v>
      </c>
      <c r="W18" s="172" t="str">
        <f t="shared" si="45"/>
        <v>NO VÁLIDA</v>
      </c>
      <c r="X18" s="290"/>
      <c r="Y18" s="171">
        <f t="shared" si="46"/>
        <v>0</v>
      </c>
      <c r="Z18" s="172" t="str">
        <f t="shared" si="47"/>
        <v>NO VÁLIDA</v>
      </c>
      <c r="AA18" s="290">
        <v>100000</v>
      </c>
      <c r="AB18" s="171">
        <f t="shared" si="48"/>
        <v>530100000</v>
      </c>
      <c r="AC18" s="172" t="str">
        <f t="shared" si="49"/>
        <v>VÁLIDA</v>
      </c>
      <c r="AD18" s="290">
        <v>98000</v>
      </c>
      <c r="AE18" s="171">
        <f t="shared" si="50"/>
        <v>519498000</v>
      </c>
      <c r="AF18" s="172" t="str">
        <f t="shared" si="51"/>
        <v>VÁLIDA</v>
      </c>
      <c r="AG18" s="290"/>
      <c r="AH18" s="171">
        <f t="shared" si="52"/>
        <v>0</v>
      </c>
      <c r="AI18" s="172" t="str">
        <f t="shared" si="53"/>
        <v>NO VÁLIDA</v>
      </c>
      <c r="AJ18" s="290"/>
      <c r="AK18" s="171">
        <f t="shared" si="54"/>
        <v>0</v>
      </c>
      <c r="AL18" s="172" t="str">
        <f t="shared" si="55"/>
        <v>NO VÁLIDA</v>
      </c>
      <c r="AM18" s="290"/>
      <c r="AN18" s="171">
        <f t="shared" si="56"/>
        <v>0</v>
      </c>
      <c r="AO18" s="172" t="str">
        <f t="shared" si="57"/>
        <v>NO VÁLIDA</v>
      </c>
      <c r="AP18" s="290"/>
      <c r="AQ18" s="171">
        <f t="shared" si="58"/>
        <v>0</v>
      </c>
      <c r="AR18" s="172" t="str">
        <f t="shared" si="59"/>
        <v>NO VÁLIDA</v>
      </c>
      <c r="AS18" s="290">
        <v>100000</v>
      </c>
      <c r="AT18" s="171">
        <f t="shared" si="60"/>
        <v>530100000</v>
      </c>
      <c r="AU18" s="172" t="str">
        <f t="shared" si="61"/>
        <v>VÁLIDA</v>
      </c>
      <c r="AV18" s="290"/>
      <c r="AW18" s="171">
        <f t="shared" si="62"/>
        <v>0</v>
      </c>
      <c r="AX18" s="172" t="str">
        <f t="shared" si="63"/>
        <v>NO VÁLIDA</v>
      </c>
      <c r="AY18" s="290">
        <v>100992</v>
      </c>
      <c r="AZ18" s="171">
        <f t="shared" si="64"/>
        <v>535358592</v>
      </c>
      <c r="BA18" s="172" t="str">
        <f t="shared" si="65"/>
        <v>VÁLIDA</v>
      </c>
      <c r="BB18" s="290">
        <v>100992</v>
      </c>
      <c r="BC18" s="171">
        <f t="shared" si="66"/>
        <v>535358592</v>
      </c>
      <c r="BD18" s="172" t="str">
        <f t="shared" si="67"/>
        <v>VÁLIDA</v>
      </c>
    </row>
    <row r="19" spans="1:56" ht="30.6" customHeight="1" thickBot="1" x14ac:dyDescent="0.25">
      <c r="A19" s="11"/>
      <c r="B19" s="167">
        <v>4</v>
      </c>
      <c r="C19" s="168" t="s">
        <v>117</v>
      </c>
      <c r="D19" s="169" t="s">
        <v>143</v>
      </c>
      <c r="E19" s="168" t="s">
        <v>105</v>
      </c>
      <c r="F19" s="199">
        <v>4986</v>
      </c>
      <c r="G19" s="287">
        <v>128420.99999999997</v>
      </c>
      <c r="H19" s="170">
        <f t="shared" si="36"/>
        <v>640307106</v>
      </c>
      <c r="I19" s="290">
        <v>125000</v>
      </c>
      <c r="J19" s="171">
        <f t="shared" si="37"/>
        <v>623250000</v>
      </c>
      <c r="K19" s="172" t="str">
        <f t="shared" si="38"/>
        <v>VÁLIDA</v>
      </c>
      <c r="L19" s="290">
        <v>125735</v>
      </c>
      <c r="M19" s="171">
        <f t="shared" si="39"/>
        <v>626914710</v>
      </c>
      <c r="N19" s="172" t="str">
        <f t="shared" si="40"/>
        <v>VÁLIDA</v>
      </c>
      <c r="O19" s="290">
        <v>120588</v>
      </c>
      <c r="P19" s="171">
        <f t="shared" si="39"/>
        <v>601251768</v>
      </c>
      <c r="Q19" s="172" t="str">
        <f t="shared" si="41"/>
        <v>VÁLIDA</v>
      </c>
      <c r="R19" s="290">
        <v>128421</v>
      </c>
      <c r="S19" s="171">
        <f t="shared" si="42"/>
        <v>640307106</v>
      </c>
      <c r="T19" s="172" t="str">
        <f t="shared" si="43"/>
        <v>VÁLIDA</v>
      </c>
      <c r="U19" s="290"/>
      <c r="V19" s="171">
        <f t="shared" si="44"/>
        <v>0</v>
      </c>
      <c r="W19" s="172" t="str">
        <f t="shared" si="45"/>
        <v>NO VÁLIDA</v>
      </c>
      <c r="X19" s="290"/>
      <c r="Y19" s="171">
        <f t="shared" si="46"/>
        <v>0</v>
      </c>
      <c r="Z19" s="172" t="str">
        <f t="shared" si="47"/>
        <v>NO VÁLIDA</v>
      </c>
      <c r="AA19" s="290">
        <v>128421</v>
      </c>
      <c r="AB19" s="171">
        <f t="shared" si="48"/>
        <v>640307106</v>
      </c>
      <c r="AC19" s="172" t="str">
        <f t="shared" si="49"/>
        <v>VÁLIDA</v>
      </c>
      <c r="AD19" s="290">
        <v>124800</v>
      </c>
      <c r="AE19" s="171">
        <f t="shared" si="50"/>
        <v>622252800</v>
      </c>
      <c r="AF19" s="172" t="str">
        <f t="shared" si="51"/>
        <v>VÁLIDA</v>
      </c>
      <c r="AG19" s="290"/>
      <c r="AH19" s="171">
        <f t="shared" si="52"/>
        <v>0</v>
      </c>
      <c r="AI19" s="172" t="str">
        <f t="shared" si="53"/>
        <v>NO VÁLIDA</v>
      </c>
      <c r="AJ19" s="290"/>
      <c r="AK19" s="171">
        <f t="shared" si="54"/>
        <v>0</v>
      </c>
      <c r="AL19" s="172" t="str">
        <f t="shared" si="55"/>
        <v>NO VÁLIDA</v>
      </c>
      <c r="AM19" s="290"/>
      <c r="AN19" s="171">
        <f t="shared" si="56"/>
        <v>0</v>
      </c>
      <c r="AO19" s="172" t="str">
        <f t="shared" si="57"/>
        <v>NO VÁLIDA</v>
      </c>
      <c r="AP19" s="290"/>
      <c r="AQ19" s="171">
        <f t="shared" si="58"/>
        <v>0</v>
      </c>
      <c r="AR19" s="172" t="str">
        <f t="shared" si="59"/>
        <v>NO VÁLIDA</v>
      </c>
      <c r="AS19" s="290">
        <v>128000</v>
      </c>
      <c r="AT19" s="171">
        <f t="shared" si="60"/>
        <v>638208000</v>
      </c>
      <c r="AU19" s="172" t="str">
        <f t="shared" si="61"/>
        <v>VÁLIDA</v>
      </c>
      <c r="AV19" s="290"/>
      <c r="AW19" s="171">
        <f t="shared" si="62"/>
        <v>0</v>
      </c>
      <c r="AX19" s="172" t="str">
        <f t="shared" si="63"/>
        <v>NO VÁLIDA</v>
      </c>
      <c r="AY19" s="290">
        <v>128421</v>
      </c>
      <c r="AZ19" s="171">
        <f t="shared" si="64"/>
        <v>640307106</v>
      </c>
      <c r="BA19" s="172" t="str">
        <f t="shared" si="65"/>
        <v>VÁLIDA</v>
      </c>
      <c r="BB19" s="290">
        <v>128421</v>
      </c>
      <c r="BC19" s="171">
        <f t="shared" si="66"/>
        <v>640307106</v>
      </c>
      <c r="BD19" s="172" t="str">
        <f t="shared" si="67"/>
        <v>VÁLIDA</v>
      </c>
    </row>
    <row r="20" spans="1:56" ht="22.5" customHeight="1" x14ac:dyDescent="0.2">
      <c r="A20" s="11"/>
      <c r="B20" s="165" t="s">
        <v>136</v>
      </c>
      <c r="C20" s="166"/>
      <c r="D20" s="166"/>
      <c r="E20" s="166"/>
      <c r="F20" s="200"/>
      <c r="G20" s="288"/>
      <c r="H20" s="194">
        <f>SUM(H21:H23)</f>
        <v>3340222381</v>
      </c>
      <c r="I20" s="291"/>
      <c r="J20" s="196">
        <f>SUM(J21:J23)</f>
        <v>3309669503</v>
      </c>
      <c r="K20" s="197"/>
      <c r="L20" s="291"/>
      <c r="M20" s="196">
        <f t="shared" ref="M20" si="68">SUM(M21:M23)</f>
        <v>3270930150</v>
      </c>
      <c r="N20" s="197"/>
      <c r="O20" s="291"/>
      <c r="P20" s="196">
        <f t="shared" ref="P20" si="69">SUM(P21:P23)</f>
        <v>3313638503</v>
      </c>
      <c r="Q20" s="197"/>
      <c r="R20" s="291"/>
      <c r="S20" s="196">
        <f t="shared" ref="S20:BC20" si="70">SUM(S21:S23)</f>
        <v>3252129503</v>
      </c>
      <c r="T20" s="197"/>
      <c r="U20" s="291"/>
      <c r="V20" s="196">
        <f t="shared" si="70"/>
        <v>0</v>
      </c>
      <c r="W20" s="197"/>
      <c r="X20" s="291"/>
      <c r="Y20" s="196">
        <f t="shared" si="70"/>
        <v>0</v>
      </c>
      <c r="Z20" s="197"/>
      <c r="AA20" s="291"/>
      <c r="AB20" s="196">
        <f t="shared" si="70"/>
        <v>3309669503</v>
      </c>
      <c r="AC20" s="197"/>
      <c r="AD20" s="291"/>
      <c r="AE20" s="196">
        <f t="shared" si="70"/>
        <v>3269769503</v>
      </c>
      <c r="AF20" s="197"/>
      <c r="AG20" s="291"/>
      <c r="AH20" s="196">
        <f t="shared" si="70"/>
        <v>0</v>
      </c>
      <c r="AI20" s="197"/>
      <c r="AJ20" s="291"/>
      <c r="AK20" s="196">
        <f t="shared" si="70"/>
        <v>0</v>
      </c>
      <c r="AL20" s="197"/>
      <c r="AM20" s="291"/>
      <c r="AN20" s="196">
        <f t="shared" si="70"/>
        <v>0</v>
      </c>
      <c r="AO20" s="197"/>
      <c r="AP20" s="291"/>
      <c r="AQ20" s="196">
        <f t="shared" si="70"/>
        <v>0</v>
      </c>
      <c r="AR20" s="197"/>
      <c r="AS20" s="291"/>
      <c r="AT20" s="196">
        <f t="shared" si="70"/>
        <v>3307380000</v>
      </c>
      <c r="AU20" s="197"/>
      <c r="AV20" s="291"/>
      <c r="AW20" s="196">
        <f t="shared" si="70"/>
        <v>0</v>
      </c>
      <c r="AX20" s="197"/>
      <c r="AY20" s="291"/>
      <c r="AZ20" s="196">
        <f t="shared" si="70"/>
        <v>3328967400</v>
      </c>
      <c r="BA20" s="197"/>
      <c r="BB20" s="291"/>
      <c r="BC20" s="196">
        <f t="shared" si="70"/>
        <v>3340222381</v>
      </c>
      <c r="BD20" s="197"/>
    </row>
    <row r="21" spans="1:56" ht="30.6" customHeight="1" x14ac:dyDescent="0.2">
      <c r="A21" s="11"/>
      <c r="B21" s="167">
        <v>5</v>
      </c>
      <c r="C21" s="168" t="s">
        <v>118</v>
      </c>
      <c r="D21" s="169" t="s">
        <v>144</v>
      </c>
      <c r="E21" s="168" t="s">
        <v>106</v>
      </c>
      <c r="F21" s="199">
        <v>31800</v>
      </c>
      <c r="G21" s="287">
        <v>2263.9969613939429</v>
      </c>
      <c r="H21" s="170">
        <f t="shared" ref="H21:H23" si="71">ROUND(G21*F21,0)</f>
        <v>71995103</v>
      </c>
      <c r="I21" s="290">
        <f>G21</f>
        <v>2263.9969613939429</v>
      </c>
      <c r="J21" s="171">
        <f t="shared" ref="J21:J23" si="72">ROUND($F21*I21,0)</f>
        <v>71995103</v>
      </c>
      <c r="K21" s="172" t="str">
        <f>+IF(I21&gt;0,IF(OR(I21&gt;$G21),"NO VÁLIDA","VÁLIDA"),"NO VÁLIDA")</f>
        <v>VÁLIDA</v>
      </c>
      <c r="L21" s="290">
        <v>2217</v>
      </c>
      <c r="M21" s="171">
        <f t="shared" ref="M21:P23" si="73">ROUND($F21*L21,0)</f>
        <v>70500600</v>
      </c>
      <c r="N21" s="172" t="str">
        <f t="shared" ref="N21:N22" si="74">+IF(L21&gt;0,IF(OR(L21&gt;$G21),"NO VÁLIDA","VÁLIDA"),"NO VÁLIDA")</f>
        <v>VÁLIDA</v>
      </c>
      <c r="O21" s="290">
        <f>G21</f>
        <v>2263.9969613939429</v>
      </c>
      <c r="P21" s="171">
        <f t="shared" si="73"/>
        <v>71995103</v>
      </c>
      <c r="Q21" s="172" t="str">
        <f t="shared" ref="Q21:Q22" si="75">+IF(O21&gt;0,IF(OR(O21&gt;$G21),"NO VÁLIDA","VÁLIDA"),"NO VÁLIDA")</f>
        <v>VÁLIDA</v>
      </c>
      <c r="R21" s="290">
        <f>G21</f>
        <v>2263.9969613939429</v>
      </c>
      <c r="S21" s="171">
        <f t="shared" ref="S21:S23" si="76">ROUND($F21*R21,0)</f>
        <v>71995103</v>
      </c>
      <c r="T21" s="172" t="str">
        <f t="shared" ref="T21:T22" si="77">+IF(R21&gt;0,IF(OR(R21&gt;$G21),"NO VÁLIDA","VÁLIDA"),"NO VÁLIDA")</f>
        <v>VÁLIDA</v>
      </c>
      <c r="U21" s="290"/>
      <c r="V21" s="171">
        <f t="shared" ref="V21:V23" si="78">ROUND($F21*U21,0)</f>
        <v>0</v>
      </c>
      <c r="W21" s="172" t="str">
        <f t="shared" ref="W21:W22" si="79">+IF(U21&gt;0,IF(OR(U21&gt;$G21),"NO VÁLIDA","VÁLIDA"),"NO VÁLIDA")</f>
        <v>NO VÁLIDA</v>
      </c>
      <c r="X21" s="290"/>
      <c r="Y21" s="171">
        <f t="shared" ref="Y21:Y23" si="80">ROUND($F21*X21,0)</f>
        <v>0</v>
      </c>
      <c r="Z21" s="172" t="str">
        <f t="shared" ref="Z21:Z22" si="81">+IF(X21&gt;0,IF(OR(X21&gt;$G21),"NO VÁLIDA","VÁLIDA"),"NO VÁLIDA")</f>
        <v>NO VÁLIDA</v>
      </c>
      <c r="AA21" s="290">
        <f>G21</f>
        <v>2263.9969613939429</v>
      </c>
      <c r="AB21" s="171">
        <f t="shared" ref="AB21:AB23" si="82">ROUND($F21*AA21,0)</f>
        <v>71995103</v>
      </c>
      <c r="AC21" s="172" t="str">
        <f t="shared" ref="AC21:AC22" si="83">+IF(AA21&gt;0,IF(OR(AA21&gt;$G21),"NO VÁLIDA","VÁLIDA"),"NO VÁLIDA")</f>
        <v>VÁLIDA</v>
      </c>
      <c r="AD21" s="290">
        <f>G21</f>
        <v>2263.9969613939429</v>
      </c>
      <c r="AE21" s="171">
        <f t="shared" ref="AE21:AE23" si="84">ROUND($F21*AD21,0)</f>
        <v>71995103</v>
      </c>
      <c r="AF21" s="172" t="str">
        <f t="shared" ref="AF21:AF22" si="85">+IF(AD21&gt;0,IF(OR(AD21&gt;$G21),"NO VÁLIDA","VÁLIDA"),"NO VÁLIDA")</f>
        <v>VÁLIDA</v>
      </c>
      <c r="AG21" s="290"/>
      <c r="AH21" s="171">
        <f t="shared" ref="AH21:AH23" si="86">ROUND($F21*AG21,0)</f>
        <v>0</v>
      </c>
      <c r="AI21" s="172" t="str">
        <f t="shared" ref="AI21:AI22" si="87">+IF(AG21&gt;0,IF(OR(AG21&gt;$G21),"NO VÁLIDA","VÁLIDA"),"NO VÁLIDA")</f>
        <v>NO VÁLIDA</v>
      </c>
      <c r="AJ21" s="290"/>
      <c r="AK21" s="171">
        <f t="shared" ref="AK21:AK23" si="88">ROUND($F21*AJ21,0)</f>
        <v>0</v>
      </c>
      <c r="AL21" s="172" t="str">
        <f t="shared" ref="AL21:AL22" si="89">+IF(AJ21&gt;0,IF(OR(AJ21&gt;$G21),"NO VÁLIDA","VÁLIDA"),"NO VÁLIDA")</f>
        <v>NO VÁLIDA</v>
      </c>
      <c r="AM21" s="290"/>
      <c r="AN21" s="171">
        <f t="shared" ref="AN21:AN23" si="90">ROUND($F21*AM21,0)</f>
        <v>0</v>
      </c>
      <c r="AO21" s="172" t="str">
        <f t="shared" ref="AO21:AO22" si="91">+IF(AM21&gt;0,IF(OR(AM21&gt;$G21),"NO VÁLIDA","VÁLIDA"),"NO VÁLIDA")</f>
        <v>NO VÁLIDA</v>
      </c>
      <c r="AP21" s="290"/>
      <c r="AQ21" s="171">
        <f t="shared" ref="AQ21:AQ23" si="92">ROUND($F21*AP21,0)</f>
        <v>0</v>
      </c>
      <c r="AR21" s="172" t="str">
        <f t="shared" ref="AR21:AR22" si="93">+IF(AP21&gt;0,IF(OR(AP21&gt;$G21),"NO VÁLIDA","VÁLIDA"),"NO VÁLIDA")</f>
        <v>NO VÁLIDA</v>
      </c>
      <c r="AS21" s="290">
        <v>2200</v>
      </c>
      <c r="AT21" s="171">
        <f t="shared" ref="AT21:AT23" si="94">ROUND($F21*AS21,0)</f>
        <v>69960000</v>
      </c>
      <c r="AU21" s="172" t="str">
        <f t="shared" ref="AU21:AU22" si="95">+IF(AS21&gt;0,IF(OR(AS21&gt;$G21),"NO VÁLIDA","VÁLIDA"),"NO VÁLIDA")</f>
        <v>VÁLIDA</v>
      </c>
      <c r="AV21" s="290"/>
      <c r="AW21" s="171">
        <f t="shared" ref="AW21:AW23" si="96">ROUND($F21*AV21,0)</f>
        <v>0</v>
      </c>
      <c r="AX21" s="172" t="str">
        <f t="shared" ref="AX21:AX22" si="97">+IF(AV21&gt;0,IF(OR(AV21&gt;$G21),"NO VÁLIDA","VÁLIDA"),"NO VÁLIDA")</f>
        <v>NO VÁLIDA</v>
      </c>
      <c r="AY21" s="290">
        <v>2260</v>
      </c>
      <c r="AZ21" s="171">
        <f t="shared" ref="AZ21:AZ23" si="98">ROUND($F21*AY21,0)</f>
        <v>71868000</v>
      </c>
      <c r="BA21" s="172" t="str">
        <f t="shared" ref="BA21:BA22" si="99">+IF(AY21&gt;0,IF(OR(AY21&gt;$G21),"NO VÁLIDA","VÁLIDA"),"NO VÁLIDA")</f>
        <v>VÁLIDA</v>
      </c>
      <c r="BB21" s="290">
        <f>G21</f>
        <v>2263.9969613939429</v>
      </c>
      <c r="BC21" s="171">
        <f t="shared" ref="BC21:BC23" si="100">ROUND($F21*BB21,0)</f>
        <v>71995103</v>
      </c>
      <c r="BD21" s="172" t="str">
        <f t="shared" ref="BD21:BD22" si="101">+IF(BB21&gt;0,IF(OR(BB21&gt;$G21),"NO VÁLIDA","VÁLIDA"),"NO VÁLIDA")</f>
        <v>VÁLIDA</v>
      </c>
    </row>
    <row r="22" spans="1:56" ht="40.5" customHeight="1" x14ac:dyDescent="0.2">
      <c r="A22" s="11"/>
      <c r="B22" s="167">
        <v>6</v>
      </c>
      <c r="C22" s="168" t="s">
        <v>119</v>
      </c>
      <c r="D22" s="169" t="s">
        <v>145</v>
      </c>
      <c r="E22" s="168" t="s">
        <v>105</v>
      </c>
      <c r="F22" s="199">
        <v>5250</v>
      </c>
      <c r="G22" s="287">
        <v>595819.5958448376</v>
      </c>
      <c r="H22" s="170">
        <f t="shared" ref="H22" si="102">ROUND(G22*F22,0)</f>
        <v>3128052878</v>
      </c>
      <c r="I22" s="290">
        <v>590000</v>
      </c>
      <c r="J22" s="171">
        <f t="shared" si="72"/>
        <v>3097500000</v>
      </c>
      <c r="K22" s="172" t="str">
        <f>+IF(I22&gt;0,IF(OR(I22&gt;$G22),"NO VÁLIDA","VÁLIDA"),"NO VÁLIDA")</f>
        <v>VÁLIDA</v>
      </c>
      <c r="L22" s="290">
        <v>583463</v>
      </c>
      <c r="M22" s="171">
        <f t="shared" si="73"/>
        <v>3063180750</v>
      </c>
      <c r="N22" s="172" t="str">
        <f t="shared" si="74"/>
        <v>VÁLIDA</v>
      </c>
      <c r="O22" s="290">
        <v>590756</v>
      </c>
      <c r="P22" s="171">
        <f t="shared" si="73"/>
        <v>3101469000</v>
      </c>
      <c r="Q22" s="172" t="str">
        <f t="shared" si="75"/>
        <v>VÁLIDA</v>
      </c>
      <c r="R22" s="290">
        <v>579040</v>
      </c>
      <c r="S22" s="171">
        <f t="shared" si="76"/>
        <v>3039960000</v>
      </c>
      <c r="T22" s="172" t="str">
        <f t="shared" si="77"/>
        <v>VÁLIDA</v>
      </c>
      <c r="U22" s="290"/>
      <c r="V22" s="171">
        <f t="shared" si="78"/>
        <v>0</v>
      </c>
      <c r="W22" s="172" t="str">
        <f t="shared" si="79"/>
        <v>NO VÁLIDA</v>
      </c>
      <c r="X22" s="290"/>
      <c r="Y22" s="171">
        <f t="shared" si="80"/>
        <v>0</v>
      </c>
      <c r="Z22" s="172" t="str">
        <f t="shared" si="81"/>
        <v>NO VÁLIDA</v>
      </c>
      <c r="AA22" s="290">
        <v>590000</v>
      </c>
      <c r="AB22" s="171">
        <f t="shared" si="82"/>
        <v>3097500000</v>
      </c>
      <c r="AC22" s="172" t="str">
        <f t="shared" si="83"/>
        <v>VÁLIDA</v>
      </c>
      <c r="AD22" s="290">
        <v>582400</v>
      </c>
      <c r="AE22" s="171">
        <f t="shared" si="84"/>
        <v>3057600000</v>
      </c>
      <c r="AF22" s="172" t="str">
        <f t="shared" si="85"/>
        <v>VÁLIDA</v>
      </c>
      <c r="AG22" s="290"/>
      <c r="AH22" s="171">
        <f t="shared" si="86"/>
        <v>0</v>
      </c>
      <c r="AI22" s="172" t="str">
        <f t="shared" si="87"/>
        <v>NO VÁLIDA</v>
      </c>
      <c r="AJ22" s="290"/>
      <c r="AK22" s="171">
        <f t="shared" si="88"/>
        <v>0</v>
      </c>
      <c r="AL22" s="172" t="str">
        <f t="shared" si="89"/>
        <v>NO VÁLIDA</v>
      </c>
      <c r="AM22" s="290"/>
      <c r="AN22" s="171">
        <f t="shared" si="90"/>
        <v>0</v>
      </c>
      <c r="AO22" s="172" t="str">
        <f t="shared" si="91"/>
        <v>NO VÁLIDA</v>
      </c>
      <c r="AP22" s="290"/>
      <c r="AQ22" s="171">
        <f t="shared" si="92"/>
        <v>0</v>
      </c>
      <c r="AR22" s="172" t="str">
        <f t="shared" si="93"/>
        <v>NO VÁLIDA</v>
      </c>
      <c r="AS22" s="290">
        <v>590000</v>
      </c>
      <c r="AT22" s="171">
        <f t="shared" si="94"/>
        <v>3097500000</v>
      </c>
      <c r="AU22" s="172" t="str">
        <f t="shared" si="95"/>
        <v>VÁLIDA</v>
      </c>
      <c r="AV22" s="290"/>
      <c r="AW22" s="171">
        <f t="shared" si="96"/>
        <v>0</v>
      </c>
      <c r="AX22" s="172" t="str">
        <f t="shared" si="97"/>
        <v>NO VÁLIDA</v>
      </c>
      <c r="AY22" s="290">
        <v>593700</v>
      </c>
      <c r="AZ22" s="171">
        <f t="shared" si="98"/>
        <v>3116925000</v>
      </c>
      <c r="BA22" s="172" t="str">
        <f t="shared" si="99"/>
        <v>VÁLIDA</v>
      </c>
      <c r="BB22" s="290">
        <f>G22</f>
        <v>595819.5958448376</v>
      </c>
      <c r="BC22" s="171">
        <f t="shared" si="100"/>
        <v>3128052878</v>
      </c>
      <c r="BD22" s="172" t="str">
        <f t="shared" si="101"/>
        <v>VÁLIDA</v>
      </c>
    </row>
    <row r="23" spans="1:56" ht="30.6" customHeight="1" thickBot="1" x14ac:dyDescent="0.25">
      <c r="A23" s="11"/>
      <c r="B23" s="167">
        <v>7</v>
      </c>
      <c r="C23" s="168" t="s">
        <v>120</v>
      </c>
      <c r="D23" s="169" t="s">
        <v>146</v>
      </c>
      <c r="E23" s="168" t="s">
        <v>106</v>
      </c>
      <c r="F23" s="199">
        <v>31800</v>
      </c>
      <c r="G23" s="287">
        <v>4408</v>
      </c>
      <c r="H23" s="170">
        <f t="shared" si="71"/>
        <v>140174400</v>
      </c>
      <c r="I23" s="290">
        <v>4408</v>
      </c>
      <c r="J23" s="171">
        <f t="shared" si="72"/>
        <v>140174400</v>
      </c>
      <c r="K23" s="172" t="str">
        <f t="shared" ref="K23" si="103">+IF(I23&gt;0,IF(OR(I23&gt;$G23,ROUND(I23,0)&gt;$G23),"NO VÁLIDA","VÁLIDA"),"NO VÁLIDA")</f>
        <v>VÁLIDA</v>
      </c>
      <c r="L23" s="290">
        <v>4316</v>
      </c>
      <c r="M23" s="171">
        <f t="shared" si="73"/>
        <v>137248800</v>
      </c>
      <c r="N23" s="172" t="str">
        <f t="shared" ref="N23" si="104">+IF(L23&gt;0,IF(OR(L23&gt;$G23,ROUND(L23,0)&gt;$G23),"NO VÁLIDA","VÁLIDA"),"NO VÁLIDA")</f>
        <v>VÁLIDA</v>
      </c>
      <c r="O23" s="290">
        <v>4408</v>
      </c>
      <c r="P23" s="171">
        <f t="shared" si="73"/>
        <v>140174400</v>
      </c>
      <c r="Q23" s="172" t="str">
        <f t="shared" ref="Q23" si="105">+IF(O23&gt;0,IF(OR(O23&gt;$G23,ROUND(O23,0)&gt;$G23),"NO VÁLIDA","VÁLIDA"),"NO VÁLIDA")</f>
        <v>VÁLIDA</v>
      </c>
      <c r="R23" s="290">
        <v>4408</v>
      </c>
      <c r="S23" s="171">
        <f t="shared" si="76"/>
        <v>140174400</v>
      </c>
      <c r="T23" s="172" t="str">
        <f t="shared" ref="T23" si="106">+IF(R23&gt;0,IF(OR(R23&gt;$G23,ROUND(R23,0)&gt;$G23),"NO VÁLIDA","VÁLIDA"),"NO VÁLIDA")</f>
        <v>VÁLIDA</v>
      </c>
      <c r="U23" s="290"/>
      <c r="V23" s="171">
        <f t="shared" si="78"/>
        <v>0</v>
      </c>
      <c r="W23" s="172" t="str">
        <f t="shared" ref="W23" si="107">+IF(U23&gt;0,IF(OR(U23&gt;$G23,ROUND(U23,0)&gt;$G23),"NO VÁLIDA","VÁLIDA"),"NO VÁLIDA")</f>
        <v>NO VÁLIDA</v>
      </c>
      <c r="X23" s="290"/>
      <c r="Y23" s="171">
        <f t="shared" si="80"/>
        <v>0</v>
      </c>
      <c r="Z23" s="172" t="str">
        <f t="shared" ref="Z23" si="108">+IF(X23&gt;0,IF(OR(X23&gt;$G23,ROUND(X23,0)&gt;$G23),"NO VÁLIDA","VÁLIDA"),"NO VÁLIDA")</f>
        <v>NO VÁLIDA</v>
      </c>
      <c r="AA23" s="290">
        <v>4408</v>
      </c>
      <c r="AB23" s="171">
        <f t="shared" si="82"/>
        <v>140174400</v>
      </c>
      <c r="AC23" s="172" t="str">
        <f t="shared" ref="AC23" si="109">+IF(AA23&gt;0,IF(OR(AA23&gt;$G23,ROUND(AA23,0)&gt;$G23),"NO VÁLIDA","VÁLIDA"),"NO VÁLIDA")</f>
        <v>VÁLIDA</v>
      </c>
      <c r="AD23" s="290">
        <v>4408</v>
      </c>
      <c r="AE23" s="171">
        <f t="shared" si="84"/>
        <v>140174400</v>
      </c>
      <c r="AF23" s="172" t="str">
        <f t="shared" ref="AF23" si="110">+IF(AD23&gt;0,IF(OR(AD23&gt;$G23,ROUND(AD23,0)&gt;$G23),"NO VÁLIDA","VÁLIDA"),"NO VÁLIDA")</f>
        <v>VÁLIDA</v>
      </c>
      <c r="AG23" s="290"/>
      <c r="AH23" s="171">
        <f t="shared" si="86"/>
        <v>0</v>
      </c>
      <c r="AI23" s="172" t="str">
        <f t="shared" ref="AI23" si="111">+IF(AG23&gt;0,IF(OR(AG23&gt;$G23,ROUND(AG23,0)&gt;$G23),"NO VÁLIDA","VÁLIDA"),"NO VÁLIDA")</f>
        <v>NO VÁLIDA</v>
      </c>
      <c r="AJ23" s="290"/>
      <c r="AK23" s="171">
        <f t="shared" si="88"/>
        <v>0</v>
      </c>
      <c r="AL23" s="172" t="str">
        <f t="shared" ref="AL23" si="112">+IF(AJ23&gt;0,IF(OR(AJ23&gt;$G23,ROUND(AJ23,0)&gt;$G23),"NO VÁLIDA","VÁLIDA"),"NO VÁLIDA")</f>
        <v>NO VÁLIDA</v>
      </c>
      <c r="AM23" s="290"/>
      <c r="AN23" s="171">
        <f t="shared" si="90"/>
        <v>0</v>
      </c>
      <c r="AO23" s="172" t="str">
        <f t="shared" ref="AO23" si="113">+IF(AM23&gt;0,IF(OR(AM23&gt;$G23,ROUND(AM23,0)&gt;$G23),"NO VÁLIDA","VÁLIDA"),"NO VÁLIDA")</f>
        <v>NO VÁLIDA</v>
      </c>
      <c r="AP23" s="290"/>
      <c r="AQ23" s="171">
        <f t="shared" si="92"/>
        <v>0</v>
      </c>
      <c r="AR23" s="172" t="str">
        <f t="shared" ref="AR23" si="114">+IF(AP23&gt;0,IF(OR(AP23&gt;$G23,ROUND(AP23,0)&gt;$G23),"NO VÁLIDA","VÁLIDA"),"NO VÁLIDA")</f>
        <v>NO VÁLIDA</v>
      </c>
      <c r="AS23" s="290">
        <v>4400</v>
      </c>
      <c r="AT23" s="171">
        <f t="shared" si="94"/>
        <v>139920000</v>
      </c>
      <c r="AU23" s="172" t="str">
        <f t="shared" ref="AU23" si="115">+IF(AS23&gt;0,IF(OR(AS23&gt;$G23,ROUND(AS23,0)&gt;$G23),"NO VÁLIDA","VÁLIDA"),"NO VÁLIDA")</f>
        <v>VÁLIDA</v>
      </c>
      <c r="AV23" s="290"/>
      <c r="AW23" s="171">
        <f t="shared" si="96"/>
        <v>0</v>
      </c>
      <c r="AX23" s="172" t="str">
        <f t="shared" ref="AX23" si="116">+IF(AV23&gt;0,IF(OR(AV23&gt;$G23,ROUND(AV23,0)&gt;$G23),"NO VÁLIDA","VÁLIDA"),"NO VÁLIDA")</f>
        <v>NO VÁLIDA</v>
      </c>
      <c r="AY23" s="290">
        <v>4408</v>
      </c>
      <c r="AZ23" s="171">
        <f t="shared" si="98"/>
        <v>140174400</v>
      </c>
      <c r="BA23" s="172" t="str">
        <f t="shared" ref="BA23" si="117">+IF(AY23&gt;0,IF(OR(AY23&gt;$G23,ROUND(AY23,0)&gt;$G23),"NO VÁLIDA","VÁLIDA"),"NO VÁLIDA")</f>
        <v>VÁLIDA</v>
      </c>
      <c r="BB23" s="290">
        <v>4408</v>
      </c>
      <c r="BC23" s="171">
        <f t="shared" si="100"/>
        <v>140174400</v>
      </c>
      <c r="BD23" s="172" t="str">
        <f t="shared" ref="BD23" si="118">+IF(BB23&gt;0,IF(OR(BB23&gt;$G23,ROUND(BB23,0)&gt;$G23),"NO VÁLIDA","VÁLIDA"),"NO VÁLIDA")</f>
        <v>VÁLIDA</v>
      </c>
    </row>
    <row r="24" spans="1:56" ht="22.5" customHeight="1" x14ac:dyDescent="0.2">
      <c r="A24" s="11"/>
      <c r="B24" s="165" t="s">
        <v>137</v>
      </c>
      <c r="C24" s="166"/>
      <c r="D24" s="166"/>
      <c r="E24" s="166"/>
      <c r="F24" s="200"/>
      <c r="G24" s="288"/>
      <c r="H24" s="194">
        <f>SUM(H25:H39)</f>
        <v>1543625681</v>
      </c>
      <c r="I24" s="291"/>
      <c r="J24" s="196">
        <f>SUM(J25:J39)</f>
        <v>1511401309</v>
      </c>
      <c r="K24" s="197"/>
      <c r="L24" s="291"/>
      <c r="M24" s="196">
        <f t="shared" ref="M24" si="119">SUM(M25:M39)</f>
        <v>1514327571</v>
      </c>
      <c r="N24" s="197"/>
      <c r="O24" s="291"/>
      <c r="P24" s="196">
        <f t="shared" ref="P24" si="120">SUM(P25:P39)</f>
        <v>1510589683</v>
      </c>
      <c r="Q24" s="197"/>
      <c r="R24" s="291"/>
      <c r="S24" s="196">
        <f t="shared" ref="S24:BC24" si="121">SUM(S25:S39)</f>
        <v>1543625681</v>
      </c>
      <c r="T24" s="197"/>
      <c r="U24" s="291"/>
      <c r="V24" s="196">
        <f t="shared" si="121"/>
        <v>0</v>
      </c>
      <c r="W24" s="197"/>
      <c r="X24" s="291"/>
      <c r="Y24" s="196">
        <f t="shared" si="121"/>
        <v>0</v>
      </c>
      <c r="Z24" s="197"/>
      <c r="AA24" s="291"/>
      <c r="AB24" s="196">
        <f t="shared" si="121"/>
        <v>1543625681</v>
      </c>
      <c r="AC24" s="197"/>
      <c r="AD24" s="291"/>
      <c r="AE24" s="196">
        <f t="shared" si="121"/>
        <v>1502004281</v>
      </c>
      <c r="AF24" s="197"/>
      <c r="AG24" s="291"/>
      <c r="AH24" s="196">
        <f t="shared" si="121"/>
        <v>0</v>
      </c>
      <c r="AI24" s="197"/>
      <c r="AJ24" s="291"/>
      <c r="AK24" s="196">
        <f t="shared" si="121"/>
        <v>0</v>
      </c>
      <c r="AL24" s="197"/>
      <c r="AM24" s="291"/>
      <c r="AN24" s="196">
        <f t="shared" si="121"/>
        <v>0</v>
      </c>
      <c r="AO24" s="197"/>
      <c r="AP24" s="291"/>
      <c r="AQ24" s="196">
        <f t="shared" si="121"/>
        <v>0</v>
      </c>
      <c r="AR24" s="197"/>
      <c r="AS24" s="291"/>
      <c r="AT24" s="196">
        <f t="shared" si="121"/>
        <v>1535859400</v>
      </c>
      <c r="AU24" s="197"/>
      <c r="AV24" s="291"/>
      <c r="AW24" s="196">
        <f t="shared" si="121"/>
        <v>0</v>
      </c>
      <c r="AX24" s="197"/>
      <c r="AY24" s="291"/>
      <c r="AZ24" s="196">
        <f t="shared" si="121"/>
        <v>1539452974</v>
      </c>
      <c r="BA24" s="197"/>
      <c r="BB24" s="291"/>
      <c r="BC24" s="196">
        <f t="shared" si="121"/>
        <v>1483017018</v>
      </c>
      <c r="BD24" s="197"/>
    </row>
    <row r="25" spans="1:56" ht="40.5" customHeight="1" x14ac:dyDescent="0.2">
      <c r="A25" s="11"/>
      <c r="B25" s="167">
        <v>8</v>
      </c>
      <c r="C25" s="168" t="s">
        <v>121</v>
      </c>
      <c r="D25" s="169" t="s">
        <v>147</v>
      </c>
      <c r="E25" s="168" t="s">
        <v>105</v>
      </c>
      <c r="F25" s="199">
        <v>686</v>
      </c>
      <c r="G25" s="287">
        <v>18095</v>
      </c>
      <c r="H25" s="170">
        <f t="shared" ref="H25:H39" si="122">ROUND(G25*F25,0)</f>
        <v>12413170</v>
      </c>
      <c r="I25" s="290">
        <v>18095</v>
      </c>
      <c r="J25" s="171">
        <f t="shared" ref="J25:J39" si="123">ROUND($F25*I25,0)</f>
        <v>12413170</v>
      </c>
      <c r="K25" s="172" t="str">
        <f t="shared" ref="K25:K39" si="124">+IF(I25&gt;0,IF(OR(I25&gt;$G25,ROUND(I25,0)&gt;$G25),"NO VÁLIDA","VÁLIDA"),"NO VÁLIDA")</f>
        <v>VÁLIDA</v>
      </c>
      <c r="L25" s="290">
        <v>17750</v>
      </c>
      <c r="M25" s="171">
        <f t="shared" ref="M25:P36" si="125">ROUND($F25*L25,0)</f>
        <v>12176500</v>
      </c>
      <c r="N25" s="172" t="str">
        <f t="shared" ref="N25:N39" si="126">+IF(L25&gt;0,IF(OR(L25&gt;$G25,ROUND(L25,0)&gt;$G25),"NO VÁLIDA","VÁLIDA"),"NO VÁLIDA")</f>
        <v>VÁLIDA</v>
      </c>
      <c r="O25" s="290">
        <v>18095</v>
      </c>
      <c r="P25" s="171">
        <f t="shared" si="125"/>
        <v>12413170</v>
      </c>
      <c r="Q25" s="172" t="str">
        <f t="shared" ref="Q25:Q39" si="127">+IF(O25&gt;0,IF(OR(O25&gt;$G25,ROUND(O25,0)&gt;$G25),"NO VÁLIDA","VÁLIDA"),"NO VÁLIDA")</f>
        <v>VÁLIDA</v>
      </c>
      <c r="R25" s="290">
        <v>18095</v>
      </c>
      <c r="S25" s="171">
        <f t="shared" ref="S25:S39" si="128">ROUND($F25*R25,0)</f>
        <v>12413170</v>
      </c>
      <c r="T25" s="172" t="str">
        <f t="shared" ref="T25:T39" si="129">+IF(R25&gt;0,IF(OR(R25&gt;$G25,ROUND(R25,0)&gt;$G25),"NO VÁLIDA","VÁLIDA"),"NO VÁLIDA")</f>
        <v>VÁLIDA</v>
      </c>
      <c r="U25" s="290"/>
      <c r="V25" s="171">
        <f t="shared" ref="V25:V39" si="130">ROUND($F25*U25,0)</f>
        <v>0</v>
      </c>
      <c r="W25" s="172" t="str">
        <f t="shared" ref="W25:W39" si="131">+IF(U25&gt;0,IF(OR(U25&gt;$G25,ROUND(U25,0)&gt;$G25),"NO VÁLIDA","VÁLIDA"),"NO VÁLIDA")</f>
        <v>NO VÁLIDA</v>
      </c>
      <c r="X25" s="290"/>
      <c r="Y25" s="171">
        <f t="shared" ref="Y25:Y39" si="132">ROUND($F25*X25,0)</f>
        <v>0</v>
      </c>
      <c r="Z25" s="172" t="str">
        <f t="shared" ref="Z25:Z39" si="133">+IF(X25&gt;0,IF(OR(X25&gt;$G25,ROUND(X25,0)&gt;$G25),"NO VÁLIDA","VÁLIDA"),"NO VÁLIDA")</f>
        <v>NO VÁLIDA</v>
      </c>
      <c r="AA25" s="290">
        <v>18095</v>
      </c>
      <c r="AB25" s="171">
        <f t="shared" ref="AB25:AB39" si="134">ROUND($F25*AA25,0)</f>
        <v>12413170</v>
      </c>
      <c r="AC25" s="172" t="str">
        <f t="shared" ref="AC25:AC39" si="135">+IF(AA25&gt;0,IF(OR(AA25&gt;$G25,ROUND(AA25,0)&gt;$G25),"NO VÁLIDA","VÁLIDA"),"NO VÁLIDA")</f>
        <v>VÁLIDA</v>
      </c>
      <c r="AD25" s="290">
        <v>18095</v>
      </c>
      <c r="AE25" s="171">
        <f t="shared" ref="AE25:AE39" si="136">ROUND($F25*AD25,0)</f>
        <v>12413170</v>
      </c>
      <c r="AF25" s="172" t="str">
        <f t="shared" ref="AF25:AF39" si="137">+IF(AD25&gt;0,IF(OR(AD25&gt;$G25,ROUND(AD25,0)&gt;$G25),"NO VÁLIDA","VÁLIDA"),"NO VÁLIDA")</f>
        <v>VÁLIDA</v>
      </c>
      <c r="AG25" s="290"/>
      <c r="AH25" s="171">
        <f t="shared" ref="AH25:AH39" si="138">ROUND($F25*AG25,0)</f>
        <v>0</v>
      </c>
      <c r="AI25" s="172" t="str">
        <f t="shared" ref="AI25:AI39" si="139">+IF(AG25&gt;0,IF(OR(AG25&gt;$G25,ROUND(AG25,0)&gt;$G25),"NO VÁLIDA","VÁLIDA"),"NO VÁLIDA")</f>
        <v>NO VÁLIDA</v>
      </c>
      <c r="AJ25" s="290"/>
      <c r="AK25" s="171">
        <f t="shared" ref="AK25:AK39" si="140">ROUND($F25*AJ25,0)</f>
        <v>0</v>
      </c>
      <c r="AL25" s="172" t="str">
        <f t="shared" ref="AL25:AL39" si="141">+IF(AJ25&gt;0,IF(OR(AJ25&gt;$G25,ROUND(AJ25,0)&gt;$G25),"NO VÁLIDA","VÁLIDA"),"NO VÁLIDA")</f>
        <v>NO VÁLIDA</v>
      </c>
      <c r="AM25" s="290"/>
      <c r="AN25" s="171">
        <f t="shared" ref="AN25:AN39" si="142">ROUND($F25*AM25,0)</f>
        <v>0</v>
      </c>
      <c r="AO25" s="172" t="str">
        <f t="shared" ref="AO25:AO39" si="143">+IF(AM25&gt;0,IF(OR(AM25&gt;$G25,ROUND(AM25,0)&gt;$G25),"NO VÁLIDA","VÁLIDA"),"NO VÁLIDA")</f>
        <v>NO VÁLIDA</v>
      </c>
      <c r="AP25" s="290"/>
      <c r="AQ25" s="171">
        <f t="shared" ref="AQ25:AQ39" si="144">ROUND($F25*AP25,0)</f>
        <v>0</v>
      </c>
      <c r="AR25" s="172" t="str">
        <f t="shared" ref="AR25:AR39" si="145">+IF(AP25&gt;0,IF(OR(AP25&gt;$G25,ROUND(AP25,0)&gt;$G25),"NO VÁLIDA","VÁLIDA"),"NO VÁLIDA")</f>
        <v>NO VÁLIDA</v>
      </c>
      <c r="AS25" s="290">
        <v>18000</v>
      </c>
      <c r="AT25" s="171">
        <f t="shared" ref="AT25:AT39" si="146">ROUND($F25*AS25,0)</f>
        <v>12348000</v>
      </c>
      <c r="AU25" s="172" t="str">
        <f t="shared" ref="AU25:AU39" si="147">+IF(AS25&gt;0,IF(OR(AS25&gt;$G25,ROUND(AS25,0)&gt;$G25),"NO VÁLIDA","VÁLIDA"),"NO VÁLIDA")</f>
        <v>VÁLIDA</v>
      </c>
      <c r="AV25" s="290"/>
      <c r="AW25" s="171">
        <f t="shared" ref="AW25:AW39" si="148">ROUND($F25*AV25,0)</f>
        <v>0</v>
      </c>
      <c r="AX25" s="172" t="str">
        <f t="shared" ref="AX25:AX39" si="149">+IF(AV25&gt;0,IF(OR(AV25&gt;$G25,ROUND(AV25,0)&gt;$G25),"NO VÁLIDA","VÁLIDA"),"NO VÁLIDA")</f>
        <v>NO VÁLIDA</v>
      </c>
      <c r="AY25" s="290">
        <v>18095</v>
      </c>
      <c r="AZ25" s="171">
        <f t="shared" ref="AZ25:AZ39" si="150">ROUND($F25*AY25,0)</f>
        <v>12413170</v>
      </c>
      <c r="BA25" s="172" t="str">
        <f t="shared" ref="BA25:BA39" si="151">+IF(AY25&gt;0,IF(OR(AY25&gt;$G25,ROUND(AY25,0)&gt;$G25),"NO VÁLIDA","VÁLIDA"),"NO VÁLIDA")</f>
        <v>VÁLIDA</v>
      </c>
      <c r="BB25" s="290">
        <v>18095</v>
      </c>
      <c r="BC25" s="171">
        <f t="shared" ref="BC25:BC39" si="152">ROUND($F25*BB25,0)</f>
        <v>12413170</v>
      </c>
      <c r="BD25" s="172" t="str">
        <f t="shared" ref="BD25:BD39" si="153">+IF(BB25&gt;0,IF(OR(BB25&gt;$G25,ROUND(BB25,0)&gt;$G25),"NO VÁLIDA","VÁLIDA"),"NO VÁLIDA")</f>
        <v>VÁLIDA</v>
      </c>
    </row>
    <row r="26" spans="1:56" ht="40.5" customHeight="1" x14ac:dyDescent="0.2">
      <c r="A26" s="11"/>
      <c r="B26" s="167">
        <v>9</v>
      </c>
      <c r="C26" s="168" t="s">
        <v>122</v>
      </c>
      <c r="D26" s="169" t="s">
        <v>148</v>
      </c>
      <c r="E26" s="168" t="s">
        <v>105</v>
      </c>
      <c r="F26" s="199">
        <v>103</v>
      </c>
      <c r="G26" s="287">
        <v>20824</v>
      </c>
      <c r="H26" s="170">
        <f t="shared" si="122"/>
        <v>2144872</v>
      </c>
      <c r="I26" s="290">
        <v>20824</v>
      </c>
      <c r="J26" s="171">
        <f t="shared" si="123"/>
        <v>2144872</v>
      </c>
      <c r="K26" s="172" t="str">
        <f t="shared" si="124"/>
        <v>VÁLIDA</v>
      </c>
      <c r="L26" s="290">
        <v>20714</v>
      </c>
      <c r="M26" s="171">
        <f t="shared" si="125"/>
        <v>2133542</v>
      </c>
      <c r="N26" s="172" t="str">
        <f t="shared" si="126"/>
        <v>VÁLIDA</v>
      </c>
      <c r="O26" s="290">
        <v>20824</v>
      </c>
      <c r="P26" s="171">
        <f t="shared" si="125"/>
        <v>2144872</v>
      </c>
      <c r="Q26" s="172" t="str">
        <f t="shared" si="127"/>
        <v>VÁLIDA</v>
      </c>
      <c r="R26" s="290">
        <v>20824</v>
      </c>
      <c r="S26" s="171">
        <f t="shared" si="128"/>
        <v>2144872</v>
      </c>
      <c r="T26" s="172" t="str">
        <f t="shared" si="129"/>
        <v>VÁLIDA</v>
      </c>
      <c r="U26" s="290"/>
      <c r="V26" s="171">
        <f t="shared" si="130"/>
        <v>0</v>
      </c>
      <c r="W26" s="172" t="str">
        <f t="shared" si="131"/>
        <v>NO VÁLIDA</v>
      </c>
      <c r="X26" s="290"/>
      <c r="Y26" s="171">
        <f t="shared" si="132"/>
        <v>0</v>
      </c>
      <c r="Z26" s="172" t="str">
        <f t="shared" si="133"/>
        <v>NO VÁLIDA</v>
      </c>
      <c r="AA26" s="290">
        <v>20824</v>
      </c>
      <c r="AB26" s="171">
        <f t="shared" si="134"/>
        <v>2144872</v>
      </c>
      <c r="AC26" s="172" t="str">
        <f t="shared" si="135"/>
        <v>VÁLIDA</v>
      </c>
      <c r="AD26" s="290">
        <v>20824</v>
      </c>
      <c r="AE26" s="171">
        <f t="shared" si="136"/>
        <v>2144872</v>
      </c>
      <c r="AF26" s="172" t="str">
        <f t="shared" si="137"/>
        <v>VÁLIDA</v>
      </c>
      <c r="AG26" s="290"/>
      <c r="AH26" s="171">
        <f t="shared" si="138"/>
        <v>0</v>
      </c>
      <c r="AI26" s="172" t="str">
        <f t="shared" si="139"/>
        <v>NO VÁLIDA</v>
      </c>
      <c r="AJ26" s="290"/>
      <c r="AK26" s="171">
        <f t="shared" si="140"/>
        <v>0</v>
      </c>
      <c r="AL26" s="172" t="str">
        <f t="shared" si="141"/>
        <v>NO VÁLIDA</v>
      </c>
      <c r="AM26" s="290"/>
      <c r="AN26" s="171">
        <f t="shared" si="142"/>
        <v>0</v>
      </c>
      <c r="AO26" s="172" t="str">
        <f t="shared" si="143"/>
        <v>NO VÁLIDA</v>
      </c>
      <c r="AP26" s="290"/>
      <c r="AQ26" s="171">
        <f t="shared" si="144"/>
        <v>0</v>
      </c>
      <c r="AR26" s="172" t="str">
        <f t="shared" si="145"/>
        <v>NO VÁLIDA</v>
      </c>
      <c r="AS26" s="290">
        <v>20000</v>
      </c>
      <c r="AT26" s="171">
        <f t="shared" si="146"/>
        <v>2060000</v>
      </c>
      <c r="AU26" s="172" t="str">
        <f t="shared" si="147"/>
        <v>VÁLIDA</v>
      </c>
      <c r="AV26" s="290"/>
      <c r="AW26" s="171">
        <f t="shared" si="148"/>
        <v>0</v>
      </c>
      <c r="AX26" s="172" t="str">
        <f t="shared" si="149"/>
        <v>NO VÁLIDA</v>
      </c>
      <c r="AY26" s="290">
        <v>20824</v>
      </c>
      <c r="AZ26" s="171">
        <f t="shared" si="150"/>
        <v>2144872</v>
      </c>
      <c r="BA26" s="172" t="str">
        <f t="shared" si="151"/>
        <v>VÁLIDA</v>
      </c>
      <c r="BB26" s="290">
        <v>20824</v>
      </c>
      <c r="BC26" s="171">
        <f t="shared" si="152"/>
        <v>2144872</v>
      </c>
      <c r="BD26" s="172" t="str">
        <f t="shared" si="153"/>
        <v>VÁLIDA</v>
      </c>
    </row>
    <row r="27" spans="1:56" ht="30.6" customHeight="1" x14ac:dyDescent="0.2">
      <c r="A27" s="11"/>
      <c r="B27" s="167">
        <v>10</v>
      </c>
      <c r="C27" s="168" t="s">
        <v>100</v>
      </c>
      <c r="D27" s="169" t="s">
        <v>149</v>
      </c>
      <c r="E27" s="168" t="s">
        <v>105</v>
      </c>
      <c r="F27" s="199">
        <v>470.4</v>
      </c>
      <c r="G27" s="287">
        <v>83080</v>
      </c>
      <c r="H27" s="170">
        <f t="shared" si="122"/>
        <v>39080832</v>
      </c>
      <c r="I27" s="290">
        <v>83080</v>
      </c>
      <c r="J27" s="171">
        <f t="shared" si="123"/>
        <v>39080832</v>
      </c>
      <c r="K27" s="172" t="str">
        <f t="shared" si="124"/>
        <v>VÁLIDA</v>
      </c>
      <c r="L27" s="290">
        <v>81731</v>
      </c>
      <c r="M27" s="171">
        <f t="shared" si="125"/>
        <v>38446262</v>
      </c>
      <c r="N27" s="172" t="str">
        <f t="shared" si="126"/>
        <v>VÁLIDA</v>
      </c>
      <c r="O27" s="290">
        <v>81885</v>
      </c>
      <c r="P27" s="171">
        <f t="shared" si="125"/>
        <v>38518704</v>
      </c>
      <c r="Q27" s="172" t="str">
        <f t="shared" si="127"/>
        <v>VÁLIDA</v>
      </c>
      <c r="R27" s="290">
        <v>83080</v>
      </c>
      <c r="S27" s="171">
        <f t="shared" si="128"/>
        <v>39080832</v>
      </c>
      <c r="T27" s="172" t="str">
        <f t="shared" si="129"/>
        <v>VÁLIDA</v>
      </c>
      <c r="U27" s="290"/>
      <c r="V27" s="171">
        <f t="shared" si="130"/>
        <v>0</v>
      </c>
      <c r="W27" s="172" t="str">
        <f t="shared" si="131"/>
        <v>NO VÁLIDA</v>
      </c>
      <c r="X27" s="290"/>
      <c r="Y27" s="171">
        <f t="shared" si="132"/>
        <v>0</v>
      </c>
      <c r="Z27" s="172" t="str">
        <f t="shared" si="133"/>
        <v>NO VÁLIDA</v>
      </c>
      <c r="AA27" s="290">
        <v>83080</v>
      </c>
      <c r="AB27" s="171">
        <f t="shared" si="134"/>
        <v>39080832</v>
      </c>
      <c r="AC27" s="172" t="str">
        <f t="shared" si="135"/>
        <v>VÁLIDA</v>
      </c>
      <c r="AD27" s="290">
        <v>83080</v>
      </c>
      <c r="AE27" s="171">
        <f t="shared" si="136"/>
        <v>39080832</v>
      </c>
      <c r="AF27" s="172" t="str">
        <f t="shared" si="137"/>
        <v>VÁLIDA</v>
      </c>
      <c r="AG27" s="290"/>
      <c r="AH27" s="171">
        <f t="shared" si="138"/>
        <v>0</v>
      </c>
      <c r="AI27" s="172" t="str">
        <f t="shared" si="139"/>
        <v>NO VÁLIDA</v>
      </c>
      <c r="AJ27" s="290"/>
      <c r="AK27" s="171">
        <f t="shared" si="140"/>
        <v>0</v>
      </c>
      <c r="AL27" s="172" t="str">
        <f t="shared" si="141"/>
        <v>NO VÁLIDA</v>
      </c>
      <c r="AM27" s="290"/>
      <c r="AN27" s="171">
        <f t="shared" si="142"/>
        <v>0</v>
      </c>
      <c r="AO27" s="172" t="str">
        <f t="shared" si="143"/>
        <v>NO VÁLIDA</v>
      </c>
      <c r="AP27" s="290"/>
      <c r="AQ27" s="171">
        <f t="shared" si="144"/>
        <v>0</v>
      </c>
      <c r="AR27" s="172" t="str">
        <f t="shared" si="145"/>
        <v>NO VÁLIDA</v>
      </c>
      <c r="AS27" s="290">
        <v>83000</v>
      </c>
      <c r="AT27" s="171">
        <f t="shared" si="146"/>
        <v>39043200</v>
      </c>
      <c r="AU27" s="172" t="str">
        <f t="shared" si="147"/>
        <v>VÁLIDA</v>
      </c>
      <c r="AV27" s="290"/>
      <c r="AW27" s="171">
        <f t="shared" si="148"/>
        <v>0</v>
      </c>
      <c r="AX27" s="172" t="str">
        <f t="shared" si="149"/>
        <v>NO VÁLIDA</v>
      </c>
      <c r="AY27" s="290">
        <v>83080</v>
      </c>
      <c r="AZ27" s="171">
        <f t="shared" si="150"/>
        <v>39080832</v>
      </c>
      <c r="BA27" s="172" t="str">
        <f t="shared" si="151"/>
        <v>VÁLIDA</v>
      </c>
      <c r="BB27" s="290">
        <v>77267</v>
      </c>
      <c r="BC27" s="171">
        <f t="shared" si="152"/>
        <v>36346397</v>
      </c>
      <c r="BD27" s="172" t="str">
        <f t="shared" si="153"/>
        <v>VÁLIDA</v>
      </c>
    </row>
    <row r="28" spans="1:56" ht="30.6" customHeight="1" x14ac:dyDescent="0.2">
      <c r="A28" s="11"/>
      <c r="B28" s="167">
        <v>11</v>
      </c>
      <c r="C28" s="168" t="s">
        <v>123</v>
      </c>
      <c r="D28" s="169" t="s">
        <v>150</v>
      </c>
      <c r="E28" s="168" t="s">
        <v>105</v>
      </c>
      <c r="F28" s="199">
        <v>456</v>
      </c>
      <c r="G28" s="287">
        <v>83080</v>
      </c>
      <c r="H28" s="170">
        <f t="shared" si="122"/>
        <v>37884480</v>
      </c>
      <c r="I28" s="290">
        <v>83080</v>
      </c>
      <c r="J28" s="171">
        <f t="shared" si="123"/>
        <v>37884480</v>
      </c>
      <c r="K28" s="172" t="str">
        <f t="shared" si="124"/>
        <v>VÁLIDA</v>
      </c>
      <c r="L28" s="290">
        <v>81731</v>
      </c>
      <c r="M28" s="171">
        <f t="shared" si="125"/>
        <v>37269336</v>
      </c>
      <c r="N28" s="172" t="str">
        <f t="shared" si="126"/>
        <v>VÁLIDA</v>
      </c>
      <c r="O28" s="290">
        <v>81885</v>
      </c>
      <c r="P28" s="171">
        <f t="shared" si="125"/>
        <v>37339560</v>
      </c>
      <c r="Q28" s="172" t="str">
        <f t="shared" si="127"/>
        <v>VÁLIDA</v>
      </c>
      <c r="R28" s="290">
        <f>R27</f>
        <v>83080</v>
      </c>
      <c r="S28" s="171">
        <f t="shared" si="128"/>
        <v>37884480</v>
      </c>
      <c r="T28" s="172" t="str">
        <f t="shared" si="129"/>
        <v>VÁLIDA</v>
      </c>
      <c r="U28" s="290"/>
      <c r="V28" s="171">
        <f t="shared" si="130"/>
        <v>0</v>
      </c>
      <c r="W28" s="172" t="str">
        <f t="shared" si="131"/>
        <v>NO VÁLIDA</v>
      </c>
      <c r="X28" s="290"/>
      <c r="Y28" s="171">
        <f t="shared" si="132"/>
        <v>0</v>
      </c>
      <c r="Z28" s="172" t="str">
        <f t="shared" si="133"/>
        <v>NO VÁLIDA</v>
      </c>
      <c r="AA28" s="290">
        <f>AA27</f>
        <v>83080</v>
      </c>
      <c r="AB28" s="171">
        <f t="shared" si="134"/>
        <v>37884480</v>
      </c>
      <c r="AC28" s="172" t="str">
        <f t="shared" si="135"/>
        <v>VÁLIDA</v>
      </c>
      <c r="AD28" s="290">
        <f>AD27</f>
        <v>83080</v>
      </c>
      <c r="AE28" s="171">
        <f t="shared" si="136"/>
        <v>37884480</v>
      </c>
      <c r="AF28" s="172" t="str">
        <f t="shared" si="137"/>
        <v>VÁLIDA</v>
      </c>
      <c r="AG28" s="290"/>
      <c r="AH28" s="171">
        <f t="shared" si="138"/>
        <v>0</v>
      </c>
      <c r="AI28" s="172" t="str">
        <f t="shared" si="139"/>
        <v>NO VÁLIDA</v>
      </c>
      <c r="AJ28" s="290"/>
      <c r="AK28" s="171">
        <f t="shared" si="140"/>
        <v>0</v>
      </c>
      <c r="AL28" s="172" t="str">
        <f t="shared" si="141"/>
        <v>NO VÁLIDA</v>
      </c>
      <c r="AM28" s="290"/>
      <c r="AN28" s="171">
        <f t="shared" si="142"/>
        <v>0</v>
      </c>
      <c r="AO28" s="172" t="str">
        <f t="shared" si="143"/>
        <v>NO VÁLIDA</v>
      </c>
      <c r="AP28" s="290"/>
      <c r="AQ28" s="171">
        <f t="shared" si="144"/>
        <v>0</v>
      </c>
      <c r="AR28" s="172" t="str">
        <f t="shared" si="145"/>
        <v>NO VÁLIDA</v>
      </c>
      <c r="AS28" s="290">
        <v>83000</v>
      </c>
      <c r="AT28" s="171">
        <f t="shared" si="146"/>
        <v>37848000</v>
      </c>
      <c r="AU28" s="172" t="str">
        <f t="shared" si="147"/>
        <v>VÁLIDA</v>
      </c>
      <c r="AV28" s="290"/>
      <c r="AW28" s="171">
        <f t="shared" si="148"/>
        <v>0</v>
      </c>
      <c r="AX28" s="172" t="str">
        <f t="shared" si="149"/>
        <v>NO VÁLIDA</v>
      </c>
      <c r="AY28" s="290">
        <f>AY27</f>
        <v>83080</v>
      </c>
      <c r="AZ28" s="171">
        <f t="shared" si="150"/>
        <v>37884480</v>
      </c>
      <c r="BA28" s="172" t="str">
        <f t="shared" si="151"/>
        <v>VÁLIDA</v>
      </c>
      <c r="BB28" s="290">
        <f>BB27</f>
        <v>77267</v>
      </c>
      <c r="BC28" s="171">
        <f t="shared" si="152"/>
        <v>35233752</v>
      </c>
      <c r="BD28" s="172" t="str">
        <f t="shared" si="153"/>
        <v>VÁLIDA</v>
      </c>
    </row>
    <row r="29" spans="1:56" ht="30.6" customHeight="1" x14ac:dyDescent="0.2">
      <c r="A29" s="11"/>
      <c r="B29" s="167">
        <v>12</v>
      </c>
      <c r="C29" s="168" t="s">
        <v>124</v>
      </c>
      <c r="D29" s="169" t="s">
        <v>151</v>
      </c>
      <c r="E29" s="168" t="s">
        <v>105</v>
      </c>
      <c r="F29" s="199">
        <v>9500</v>
      </c>
      <c r="G29" s="287">
        <v>83080</v>
      </c>
      <c r="H29" s="170">
        <f t="shared" si="122"/>
        <v>789260000</v>
      </c>
      <c r="I29" s="290">
        <v>82000</v>
      </c>
      <c r="J29" s="171">
        <f t="shared" si="123"/>
        <v>779000000</v>
      </c>
      <c r="K29" s="172" t="str">
        <f t="shared" si="124"/>
        <v>VÁLIDA</v>
      </c>
      <c r="L29" s="290">
        <v>81731</v>
      </c>
      <c r="M29" s="171">
        <f t="shared" si="125"/>
        <v>776444500</v>
      </c>
      <c r="N29" s="172" t="str">
        <f t="shared" si="126"/>
        <v>VÁLIDA</v>
      </c>
      <c r="O29" s="290">
        <v>81885</v>
      </c>
      <c r="P29" s="171">
        <f t="shared" si="125"/>
        <v>777907500</v>
      </c>
      <c r="Q29" s="172" t="str">
        <f t="shared" si="127"/>
        <v>VÁLIDA</v>
      </c>
      <c r="R29" s="290">
        <f>R28</f>
        <v>83080</v>
      </c>
      <c r="S29" s="171">
        <f t="shared" si="128"/>
        <v>789260000</v>
      </c>
      <c r="T29" s="172" t="str">
        <f t="shared" si="129"/>
        <v>VÁLIDA</v>
      </c>
      <c r="U29" s="290"/>
      <c r="V29" s="171">
        <f t="shared" si="130"/>
        <v>0</v>
      </c>
      <c r="W29" s="172" t="str">
        <f t="shared" si="131"/>
        <v>NO VÁLIDA</v>
      </c>
      <c r="X29" s="290"/>
      <c r="Y29" s="171">
        <f t="shared" si="132"/>
        <v>0</v>
      </c>
      <c r="Z29" s="172" t="str">
        <f t="shared" si="133"/>
        <v>NO VÁLIDA</v>
      </c>
      <c r="AA29" s="290">
        <f>AA28</f>
        <v>83080</v>
      </c>
      <c r="AB29" s="171">
        <f t="shared" si="134"/>
        <v>789260000</v>
      </c>
      <c r="AC29" s="172" t="str">
        <f t="shared" si="135"/>
        <v>VÁLIDA</v>
      </c>
      <c r="AD29" s="290">
        <v>80310</v>
      </c>
      <c r="AE29" s="171">
        <f t="shared" si="136"/>
        <v>762945000</v>
      </c>
      <c r="AF29" s="172" t="str">
        <f t="shared" si="137"/>
        <v>VÁLIDA</v>
      </c>
      <c r="AG29" s="290"/>
      <c r="AH29" s="171">
        <f t="shared" si="138"/>
        <v>0</v>
      </c>
      <c r="AI29" s="172" t="str">
        <f t="shared" si="139"/>
        <v>NO VÁLIDA</v>
      </c>
      <c r="AJ29" s="290"/>
      <c r="AK29" s="171">
        <f t="shared" si="140"/>
        <v>0</v>
      </c>
      <c r="AL29" s="172" t="str">
        <f t="shared" si="141"/>
        <v>NO VÁLIDA</v>
      </c>
      <c r="AM29" s="290"/>
      <c r="AN29" s="171">
        <f t="shared" si="142"/>
        <v>0</v>
      </c>
      <c r="AO29" s="172" t="str">
        <f t="shared" si="143"/>
        <v>NO VÁLIDA</v>
      </c>
      <c r="AP29" s="290"/>
      <c r="AQ29" s="171">
        <f t="shared" si="144"/>
        <v>0</v>
      </c>
      <c r="AR29" s="172" t="str">
        <f t="shared" si="145"/>
        <v>NO VÁLIDA</v>
      </c>
      <c r="AS29" s="290">
        <v>83000</v>
      </c>
      <c r="AT29" s="171">
        <f t="shared" si="146"/>
        <v>788500000</v>
      </c>
      <c r="AU29" s="172" t="str">
        <f t="shared" si="147"/>
        <v>VÁLIDA</v>
      </c>
      <c r="AV29" s="290"/>
      <c r="AW29" s="171">
        <f t="shared" si="148"/>
        <v>0</v>
      </c>
      <c r="AX29" s="172" t="str">
        <f t="shared" si="149"/>
        <v>NO VÁLIDA</v>
      </c>
      <c r="AY29" s="290">
        <v>82700</v>
      </c>
      <c r="AZ29" s="171">
        <f t="shared" si="150"/>
        <v>785650000</v>
      </c>
      <c r="BA29" s="172" t="str">
        <f t="shared" si="151"/>
        <v>VÁLIDA</v>
      </c>
      <c r="BB29" s="290">
        <f>BB28</f>
        <v>77267</v>
      </c>
      <c r="BC29" s="171">
        <f t="shared" si="152"/>
        <v>734036500</v>
      </c>
      <c r="BD29" s="172" t="str">
        <f t="shared" si="153"/>
        <v>VÁLIDA</v>
      </c>
    </row>
    <row r="30" spans="1:56" ht="30.6" customHeight="1" x14ac:dyDescent="0.2">
      <c r="A30" s="11"/>
      <c r="B30" s="167">
        <v>13</v>
      </c>
      <c r="C30" s="168" t="s">
        <v>97</v>
      </c>
      <c r="D30" s="169" t="s">
        <v>152</v>
      </c>
      <c r="E30" s="168" t="s">
        <v>105</v>
      </c>
      <c r="F30" s="199">
        <v>146.19999999999999</v>
      </c>
      <c r="G30" s="287">
        <v>631231</v>
      </c>
      <c r="H30" s="170">
        <f t="shared" si="122"/>
        <v>92285972</v>
      </c>
      <c r="I30" s="290">
        <v>620000</v>
      </c>
      <c r="J30" s="171">
        <f t="shared" si="123"/>
        <v>90644000</v>
      </c>
      <c r="K30" s="172" t="str">
        <f t="shared" si="124"/>
        <v>VÁLIDA</v>
      </c>
      <c r="L30" s="290">
        <v>618832</v>
      </c>
      <c r="M30" s="171">
        <f t="shared" si="125"/>
        <v>90473238</v>
      </c>
      <c r="N30" s="172" t="str">
        <f t="shared" si="126"/>
        <v>VÁLIDA</v>
      </c>
      <c r="O30" s="290">
        <v>631231</v>
      </c>
      <c r="P30" s="171">
        <f t="shared" si="125"/>
        <v>92285972</v>
      </c>
      <c r="Q30" s="172" t="str">
        <f t="shared" si="127"/>
        <v>VÁLIDA</v>
      </c>
      <c r="R30" s="290">
        <v>631231</v>
      </c>
      <c r="S30" s="171">
        <f t="shared" si="128"/>
        <v>92285972</v>
      </c>
      <c r="T30" s="172" t="str">
        <f t="shared" si="129"/>
        <v>VÁLIDA</v>
      </c>
      <c r="U30" s="290"/>
      <c r="V30" s="171">
        <f t="shared" si="130"/>
        <v>0</v>
      </c>
      <c r="W30" s="172" t="str">
        <f t="shared" si="131"/>
        <v>NO VÁLIDA</v>
      </c>
      <c r="X30" s="290"/>
      <c r="Y30" s="171">
        <f t="shared" si="132"/>
        <v>0</v>
      </c>
      <c r="Z30" s="172" t="str">
        <f t="shared" si="133"/>
        <v>NO VÁLIDA</v>
      </c>
      <c r="AA30" s="290">
        <v>631231</v>
      </c>
      <c r="AB30" s="171">
        <f t="shared" si="134"/>
        <v>92285972</v>
      </c>
      <c r="AC30" s="172" t="str">
        <f t="shared" si="135"/>
        <v>VÁLIDA</v>
      </c>
      <c r="AD30" s="290">
        <v>631231</v>
      </c>
      <c r="AE30" s="171">
        <f t="shared" si="136"/>
        <v>92285972</v>
      </c>
      <c r="AF30" s="172" t="str">
        <f t="shared" si="137"/>
        <v>VÁLIDA</v>
      </c>
      <c r="AG30" s="290"/>
      <c r="AH30" s="171">
        <f t="shared" si="138"/>
        <v>0</v>
      </c>
      <c r="AI30" s="172" t="str">
        <f t="shared" si="139"/>
        <v>NO VÁLIDA</v>
      </c>
      <c r="AJ30" s="290"/>
      <c r="AK30" s="171">
        <f t="shared" si="140"/>
        <v>0</v>
      </c>
      <c r="AL30" s="172" t="str">
        <f t="shared" si="141"/>
        <v>NO VÁLIDA</v>
      </c>
      <c r="AM30" s="290"/>
      <c r="AN30" s="171">
        <f t="shared" si="142"/>
        <v>0</v>
      </c>
      <c r="AO30" s="172" t="str">
        <f t="shared" si="143"/>
        <v>NO VÁLIDA</v>
      </c>
      <c r="AP30" s="290"/>
      <c r="AQ30" s="171">
        <f t="shared" si="144"/>
        <v>0</v>
      </c>
      <c r="AR30" s="172" t="str">
        <f t="shared" si="145"/>
        <v>NO VÁLIDA</v>
      </c>
      <c r="AS30" s="290">
        <v>631000</v>
      </c>
      <c r="AT30" s="171">
        <f t="shared" si="146"/>
        <v>92252200</v>
      </c>
      <c r="AU30" s="172" t="str">
        <f t="shared" si="147"/>
        <v>VÁLIDA</v>
      </c>
      <c r="AV30" s="290"/>
      <c r="AW30" s="171">
        <f t="shared" si="148"/>
        <v>0</v>
      </c>
      <c r="AX30" s="172" t="str">
        <f t="shared" si="149"/>
        <v>NO VÁLIDA</v>
      </c>
      <c r="AY30" s="290">
        <v>631231</v>
      </c>
      <c r="AZ30" s="171">
        <f t="shared" si="150"/>
        <v>92285972</v>
      </c>
      <c r="BA30" s="172" t="str">
        <f t="shared" si="151"/>
        <v>VÁLIDA</v>
      </c>
      <c r="BB30" s="290">
        <v>631231</v>
      </c>
      <c r="BC30" s="171">
        <f t="shared" si="152"/>
        <v>92285972</v>
      </c>
      <c r="BD30" s="172" t="str">
        <f t="shared" si="153"/>
        <v>VÁLIDA</v>
      </c>
    </row>
    <row r="31" spans="1:56" ht="30.6" customHeight="1" x14ac:dyDescent="0.2">
      <c r="A31" s="11"/>
      <c r="B31" s="167">
        <v>14</v>
      </c>
      <c r="C31" s="168" t="s">
        <v>97</v>
      </c>
      <c r="D31" s="169" t="s">
        <v>153</v>
      </c>
      <c r="E31" s="168" t="s">
        <v>105</v>
      </c>
      <c r="F31" s="199">
        <v>58</v>
      </c>
      <c r="G31" s="287">
        <v>825972</v>
      </c>
      <c r="H31" s="170">
        <f t="shared" si="122"/>
        <v>47906376</v>
      </c>
      <c r="I31" s="290">
        <v>825972</v>
      </c>
      <c r="J31" s="171">
        <f t="shared" si="123"/>
        <v>47906376</v>
      </c>
      <c r="K31" s="172" t="str">
        <f t="shared" si="124"/>
        <v>VÁLIDA</v>
      </c>
      <c r="L31" s="290">
        <v>809075</v>
      </c>
      <c r="M31" s="171">
        <f t="shared" si="125"/>
        <v>46926350</v>
      </c>
      <c r="N31" s="172" t="str">
        <f t="shared" si="126"/>
        <v>VÁLIDA</v>
      </c>
      <c r="O31" s="290">
        <v>825972</v>
      </c>
      <c r="P31" s="171">
        <f t="shared" si="125"/>
        <v>47906376</v>
      </c>
      <c r="Q31" s="172" t="str">
        <f t="shared" si="127"/>
        <v>VÁLIDA</v>
      </c>
      <c r="R31" s="290">
        <v>825972</v>
      </c>
      <c r="S31" s="171">
        <f t="shared" si="128"/>
        <v>47906376</v>
      </c>
      <c r="T31" s="172" t="str">
        <f t="shared" si="129"/>
        <v>VÁLIDA</v>
      </c>
      <c r="U31" s="290"/>
      <c r="V31" s="171">
        <f t="shared" si="130"/>
        <v>0</v>
      </c>
      <c r="W31" s="172" t="str">
        <f t="shared" si="131"/>
        <v>NO VÁLIDA</v>
      </c>
      <c r="X31" s="290"/>
      <c r="Y31" s="171">
        <f t="shared" si="132"/>
        <v>0</v>
      </c>
      <c r="Z31" s="172" t="str">
        <f t="shared" si="133"/>
        <v>NO VÁLIDA</v>
      </c>
      <c r="AA31" s="290">
        <v>825972</v>
      </c>
      <c r="AB31" s="171">
        <f t="shared" si="134"/>
        <v>47906376</v>
      </c>
      <c r="AC31" s="172" t="str">
        <f t="shared" si="135"/>
        <v>VÁLIDA</v>
      </c>
      <c r="AD31" s="290">
        <v>825972</v>
      </c>
      <c r="AE31" s="171">
        <f t="shared" si="136"/>
        <v>47906376</v>
      </c>
      <c r="AF31" s="172" t="str">
        <f t="shared" si="137"/>
        <v>VÁLIDA</v>
      </c>
      <c r="AG31" s="290"/>
      <c r="AH31" s="171">
        <f t="shared" si="138"/>
        <v>0</v>
      </c>
      <c r="AI31" s="172" t="str">
        <f t="shared" si="139"/>
        <v>NO VÁLIDA</v>
      </c>
      <c r="AJ31" s="290"/>
      <c r="AK31" s="171">
        <f t="shared" si="140"/>
        <v>0</v>
      </c>
      <c r="AL31" s="172" t="str">
        <f t="shared" si="141"/>
        <v>NO VÁLIDA</v>
      </c>
      <c r="AM31" s="290"/>
      <c r="AN31" s="171">
        <f t="shared" si="142"/>
        <v>0</v>
      </c>
      <c r="AO31" s="172" t="str">
        <f t="shared" si="143"/>
        <v>NO VÁLIDA</v>
      </c>
      <c r="AP31" s="290"/>
      <c r="AQ31" s="171">
        <f t="shared" si="144"/>
        <v>0</v>
      </c>
      <c r="AR31" s="172" t="str">
        <f t="shared" si="145"/>
        <v>NO VÁLIDA</v>
      </c>
      <c r="AS31" s="290">
        <v>825000</v>
      </c>
      <c r="AT31" s="171">
        <f t="shared" si="146"/>
        <v>47850000</v>
      </c>
      <c r="AU31" s="172" t="str">
        <f t="shared" si="147"/>
        <v>VÁLIDA</v>
      </c>
      <c r="AV31" s="290"/>
      <c r="AW31" s="171">
        <f t="shared" si="148"/>
        <v>0</v>
      </c>
      <c r="AX31" s="172" t="str">
        <f t="shared" si="149"/>
        <v>NO VÁLIDA</v>
      </c>
      <c r="AY31" s="290">
        <v>825972</v>
      </c>
      <c r="AZ31" s="171">
        <f t="shared" si="150"/>
        <v>47906376</v>
      </c>
      <c r="BA31" s="172" t="str">
        <f t="shared" si="151"/>
        <v>VÁLIDA</v>
      </c>
      <c r="BB31" s="290">
        <v>825972</v>
      </c>
      <c r="BC31" s="171">
        <f t="shared" si="152"/>
        <v>47906376</v>
      </c>
      <c r="BD31" s="172" t="str">
        <f t="shared" si="153"/>
        <v>VÁLIDA</v>
      </c>
    </row>
    <row r="32" spans="1:56" ht="40.5" customHeight="1" x14ac:dyDescent="0.2">
      <c r="A32" s="11"/>
      <c r="B32" s="167">
        <v>15</v>
      </c>
      <c r="C32" s="168" t="s">
        <v>101</v>
      </c>
      <c r="D32" s="169" t="s">
        <v>154</v>
      </c>
      <c r="E32" s="168" t="s">
        <v>105</v>
      </c>
      <c r="F32" s="199">
        <v>38.4</v>
      </c>
      <c r="G32" s="287">
        <v>450488.00001761899</v>
      </c>
      <c r="H32" s="170">
        <f t="shared" si="122"/>
        <v>17298739</v>
      </c>
      <c r="I32" s="290">
        <v>450488</v>
      </c>
      <c r="J32" s="171">
        <f t="shared" si="123"/>
        <v>17298739</v>
      </c>
      <c r="K32" s="172" t="str">
        <f t="shared" si="124"/>
        <v>VÁLIDA</v>
      </c>
      <c r="L32" s="290">
        <v>443502</v>
      </c>
      <c r="M32" s="171">
        <f t="shared" si="125"/>
        <v>17030477</v>
      </c>
      <c r="N32" s="172" t="str">
        <f t="shared" si="126"/>
        <v>VÁLIDA</v>
      </c>
      <c r="O32" s="290">
        <v>450488</v>
      </c>
      <c r="P32" s="171">
        <f t="shared" si="125"/>
        <v>17298739</v>
      </c>
      <c r="Q32" s="172" t="str">
        <f t="shared" si="127"/>
        <v>VÁLIDA</v>
      </c>
      <c r="R32" s="290">
        <v>450488</v>
      </c>
      <c r="S32" s="171">
        <f t="shared" si="128"/>
        <v>17298739</v>
      </c>
      <c r="T32" s="172" t="str">
        <f t="shared" si="129"/>
        <v>VÁLIDA</v>
      </c>
      <c r="U32" s="290"/>
      <c r="V32" s="171">
        <f t="shared" si="130"/>
        <v>0</v>
      </c>
      <c r="W32" s="172" t="str">
        <f t="shared" si="131"/>
        <v>NO VÁLIDA</v>
      </c>
      <c r="X32" s="290"/>
      <c r="Y32" s="171">
        <f t="shared" si="132"/>
        <v>0</v>
      </c>
      <c r="Z32" s="172" t="str">
        <f t="shared" si="133"/>
        <v>NO VÁLIDA</v>
      </c>
      <c r="AA32" s="290">
        <v>450488</v>
      </c>
      <c r="AB32" s="171">
        <f t="shared" si="134"/>
        <v>17298739</v>
      </c>
      <c r="AC32" s="172" t="str">
        <f t="shared" si="135"/>
        <v>VÁLIDA</v>
      </c>
      <c r="AD32" s="290">
        <v>450488</v>
      </c>
      <c r="AE32" s="171">
        <f t="shared" si="136"/>
        <v>17298739</v>
      </c>
      <c r="AF32" s="172" t="str">
        <f t="shared" si="137"/>
        <v>VÁLIDA</v>
      </c>
      <c r="AG32" s="290"/>
      <c r="AH32" s="171">
        <f t="shared" si="138"/>
        <v>0</v>
      </c>
      <c r="AI32" s="172" t="str">
        <f t="shared" si="139"/>
        <v>NO VÁLIDA</v>
      </c>
      <c r="AJ32" s="290"/>
      <c r="AK32" s="171">
        <f t="shared" si="140"/>
        <v>0</v>
      </c>
      <c r="AL32" s="172" t="str">
        <f t="shared" si="141"/>
        <v>NO VÁLIDA</v>
      </c>
      <c r="AM32" s="290"/>
      <c r="AN32" s="171">
        <f t="shared" si="142"/>
        <v>0</v>
      </c>
      <c r="AO32" s="172" t="str">
        <f t="shared" si="143"/>
        <v>NO VÁLIDA</v>
      </c>
      <c r="AP32" s="290"/>
      <c r="AQ32" s="171">
        <f t="shared" si="144"/>
        <v>0</v>
      </c>
      <c r="AR32" s="172" t="str">
        <f t="shared" si="145"/>
        <v>NO VÁLIDA</v>
      </c>
      <c r="AS32" s="290">
        <v>450000</v>
      </c>
      <c r="AT32" s="171">
        <f t="shared" si="146"/>
        <v>17280000</v>
      </c>
      <c r="AU32" s="172" t="str">
        <f t="shared" si="147"/>
        <v>VÁLIDA</v>
      </c>
      <c r="AV32" s="290"/>
      <c r="AW32" s="171">
        <f t="shared" si="148"/>
        <v>0</v>
      </c>
      <c r="AX32" s="172" t="str">
        <f t="shared" si="149"/>
        <v>NO VÁLIDA</v>
      </c>
      <c r="AY32" s="290">
        <v>450480</v>
      </c>
      <c r="AZ32" s="171">
        <f t="shared" si="150"/>
        <v>17298432</v>
      </c>
      <c r="BA32" s="172" t="str">
        <f t="shared" si="151"/>
        <v>VÁLIDA</v>
      </c>
      <c r="BB32" s="290">
        <v>450488</v>
      </c>
      <c r="BC32" s="171">
        <f t="shared" si="152"/>
        <v>17298739</v>
      </c>
      <c r="BD32" s="172" t="str">
        <f t="shared" si="153"/>
        <v>VÁLIDA</v>
      </c>
    </row>
    <row r="33" spans="1:57" ht="30.6" customHeight="1" x14ac:dyDescent="0.2">
      <c r="A33" s="11"/>
      <c r="B33" s="167">
        <v>16</v>
      </c>
      <c r="C33" s="168" t="s">
        <v>102</v>
      </c>
      <c r="D33" s="169" t="s">
        <v>155</v>
      </c>
      <c r="E33" s="168" t="s">
        <v>107</v>
      </c>
      <c r="F33" s="199">
        <v>1988</v>
      </c>
      <c r="G33" s="287">
        <v>6175</v>
      </c>
      <c r="H33" s="170">
        <f t="shared" si="122"/>
        <v>12275900</v>
      </c>
      <c r="I33" s="290">
        <v>6175</v>
      </c>
      <c r="J33" s="171">
        <f t="shared" si="123"/>
        <v>12275900</v>
      </c>
      <c r="K33" s="172" t="str">
        <f t="shared" si="124"/>
        <v>VÁLIDA</v>
      </c>
      <c r="L33" s="290">
        <v>6074</v>
      </c>
      <c r="M33" s="171">
        <f t="shared" si="125"/>
        <v>12075112</v>
      </c>
      <c r="N33" s="172" t="str">
        <f t="shared" si="126"/>
        <v>VÁLIDA</v>
      </c>
      <c r="O33" s="290">
        <v>6175</v>
      </c>
      <c r="P33" s="171">
        <f t="shared" si="125"/>
        <v>12275900</v>
      </c>
      <c r="Q33" s="172" t="str">
        <f t="shared" si="127"/>
        <v>VÁLIDA</v>
      </c>
      <c r="R33" s="290">
        <v>6175</v>
      </c>
      <c r="S33" s="171">
        <f t="shared" si="128"/>
        <v>12275900</v>
      </c>
      <c r="T33" s="172" t="str">
        <f t="shared" si="129"/>
        <v>VÁLIDA</v>
      </c>
      <c r="U33" s="290"/>
      <c r="V33" s="171">
        <f t="shared" si="130"/>
        <v>0</v>
      </c>
      <c r="W33" s="172" t="str">
        <f t="shared" si="131"/>
        <v>NO VÁLIDA</v>
      </c>
      <c r="X33" s="290"/>
      <c r="Y33" s="171">
        <f t="shared" si="132"/>
        <v>0</v>
      </c>
      <c r="Z33" s="172" t="str">
        <f t="shared" si="133"/>
        <v>NO VÁLIDA</v>
      </c>
      <c r="AA33" s="290">
        <v>6175</v>
      </c>
      <c r="AB33" s="171">
        <f t="shared" si="134"/>
        <v>12275900</v>
      </c>
      <c r="AC33" s="172" t="str">
        <f t="shared" si="135"/>
        <v>VÁLIDA</v>
      </c>
      <c r="AD33" s="290">
        <v>6175</v>
      </c>
      <c r="AE33" s="171">
        <f t="shared" si="136"/>
        <v>12275900</v>
      </c>
      <c r="AF33" s="172" t="str">
        <f t="shared" si="137"/>
        <v>VÁLIDA</v>
      </c>
      <c r="AG33" s="290"/>
      <c r="AH33" s="171">
        <f t="shared" si="138"/>
        <v>0</v>
      </c>
      <c r="AI33" s="172" t="str">
        <f t="shared" si="139"/>
        <v>NO VÁLIDA</v>
      </c>
      <c r="AJ33" s="290"/>
      <c r="AK33" s="171">
        <f t="shared" si="140"/>
        <v>0</v>
      </c>
      <c r="AL33" s="172" t="str">
        <f t="shared" si="141"/>
        <v>NO VÁLIDA</v>
      </c>
      <c r="AM33" s="290"/>
      <c r="AN33" s="171">
        <f t="shared" si="142"/>
        <v>0</v>
      </c>
      <c r="AO33" s="172" t="str">
        <f t="shared" si="143"/>
        <v>NO VÁLIDA</v>
      </c>
      <c r="AP33" s="290"/>
      <c r="AQ33" s="171">
        <f t="shared" si="144"/>
        <v>0</v>
      </c>
      <c r="AR33" s="172" t="str">
        <f t="shared" si="145"/>
        <v>NO VÁLIDA</v>
      </c>
      <c r="AS33" s="290">
        <v>6000</v>
      </c>
      <c r="AT33" s="171">
        <f t="shared" si="146"/>
        <v>11928000</v>
      </c>
      <c r="AU33" s="172" t="str">
        <f t="shared" si="147"/>
        <v>VÁLIDA</v>
      </c>
      <c r="AV33" s="290"/>
      <c r="AW33" s="171">
        <f t="shared" si="148"/>
        <v>0</v>
      </c>
      <c r="AX33" s="172" t="str">
        <f t="shared" si="149"/>
        <v>NO VÁLIDA</v>
      </c>
      <c r="AY33" s="290">
        <v>6175</v>
      </c>
      <c r="AZ33" s="171">
        <f t="shared" si="150"/>
        <v>12275900</v>
      </c>
      <c r="BA33" s="172" t="str">
        <f t="shared" si="151"/>
        <v>VÁLIDA</v>
      </c>
      <c r="BB33" s="290">
        <v>6175</v>
      </c>
      <c r="BC33" s="171">
        <f t="shared" si="152"/>
        <v>12275900</v>
      </c>
      <c r="BD33" s="172" t="str">
        <f t="shared" si="153"/>
        <v>VÁLIDA</v>
      </c>
    </row>
    <row r="34" spans="1:57" ht="30.6" customHeight="1" x14ac:dyDescent="0.2">
      <c r="A34" s="11"/>
      <c r="B34" s="167">
        <v>17</v>
      </c>
      <c r="C34" s="168" t="s">
        <v>125</v>
      </c>
      <c r="D34" s="169" t="s">
        <v>156</v>
      </c>
      <c r="E34" s="168" t="s">
        <v>157</v>
      </c>
      <c r="F34" s="199">
        <v>96</v>
      </c>
      <c r="G34" s="287">
        <v>434910</v>
      </c>
      <c r="H34" s="170">
        <f t="shared" si="122"/>
        <v>41751360</v>
      </c>
      <c r="I34" s="290">
        <v>434910</v>
      </c>
      <c r="J34" s="171">
        <f t="shared" si="123"/>
        <v>41751360</v>
      </c>
      <c r="K34" s="172" t="str">
        <f t="shared" si="124"/>
        <v>VÁLIDA</v>
      </c>
      <c r="L34" s="290">
        <v>424429</v>
      </c>
      <c r="M34" s="171">
        <f t="shared" si="125"/>
        <v>40745184</v>
      </c>
      <c r="N34" s="172" t="str">
        <f t="shared" si="126"/>
        <v>VÁLIDA</v>
      </c>
      <c r="O34" s="290">
        <v>434910</v>
      </c>
      <c r="P34" s="171">
        <f t="shared" si="125"/>
        <v>41751360</v>
      </c>
      <c r="Q34" s="172" t="str">
        <f t="shared" si="127"/>
        <v>VÁLIDA</v>
      </c>
      <c r="R34" s="290">
        <v>434910</v>
      </c>
      <c r="S34" s="171">
        <f t="shared" si="128"/>
        <v>41751360</v>
      </c>
      <c r="T34" s="172" t="str">
        <f t="shared" si="129"/>
        <v>VÁLIDA</v>
      </c>
      <c r="U34" s="290"/>
      <c r="V34" s="171">
        <f t="shared" si="130"/>
        <v>0</v>
      </c>
      <c r="W34" s="172" t="str">
        <f t="shared" si="131"/>
        <v>NO VÁLIDA</v>
      </c>
      <c r="X34" s="290"/>
      <c r="Y34" s="171">
        <f t="shared" si="132"/>
        <v>0</v>
      </c>
      <c r="Z34" s="172" t="str">
        <f t="shared" si="133"/>
        <v>NO VÁLIDA</v>
      </c>
      <c r="AA34" s="290">
        <v>434910</v>
      </c>
      <c r="AB34" s="171">
        <f t="shared" si="134"/>
        <v>41751360</v>
      </c>
      <c r="AC34" s="172" t="str">
        <f t="shared" si="135"/>
        <v>VÁLIDA</v>
      </c>
      <c r="AD34" s="290">
        <v>434910</v>
      </c>
      <c r="AE34" s="171">
        <f t="shared" si="136"/>
        <v>41751360</v>
      </c>
      <c r="AF34" s="172" t="str">
        <f t="shared" si="137"/>
        <v>VÁLIDA</v>
      </c>
      <c r="AG34" s="290"/>
      <c r="AH34" s="171">
        <f t="shared" si="138"/>
        <v>0</v>
      </c>
      <c r="AI34" s="172" t="str">
        <f t="shared" si="139"/>
        <v>NO VÁLIDA</v>
      </c>
      <c r="AJ34" s="290"/>
      <c r="AK34" s="171">
        <f t="shared" si="140"/>
        <v>0</v>
      </c>
      <c r="AL34" s="172" t="str">
        <f t="shared" si="141"/>
        <v>NO VÁLIDA</v>
      </c>
      <c r="AM34" s="290"/>
      <c r="AN34" s="171">
        <f t="shared" si="142"/>
        <v>0</v>
      </c>
      <c r="AO34" s="172" t="str">
        <f t="shared" si="143"/>
        <v>NO VÁLIDA</v>
      </c>
      <c r="AP34" s="290"/>
      <c r="AQ34" s="171">
        <f t="shared" si="144"/>
        <v>0</v>
      </c>
      <c r="AR34" s="172" t="str">
        <f t="shared" si="145"/>
        <v>NO VÁLIDA</v>
      </c>
      <c r="AS34" s="290">
        <v>430000</v>
      </c>
      <c r="AT34" s="171">
        <f t="shared" si="146"/>
        <v>41280000</v>
      </c>
      <c r="AU34" s="172" t="str">
        <f t="shared" si="147"/>
        <v>VÁLIDA</v>
      </c>
      <c r="AV34" s="290"/>
      <c r="AW34" s="171">
        <f t="shared" si="148"/>
        <v>0</v>
      </c>
      <c r="AX34" s="172" t="str">
        <f t="shared" si="149"/>
        <v>NO VÁLIDA</v>
      </c>
      <c r="AY34" s="290">
        <v>434910</v>
      </c>
      <c r="AZ34" s="171">
        <f t="shared" si="150"/>
        <v>41751360</v>
      </c>
      <c r="BA34" s="172" t="str">
        <f t="shared" si="151"/>
        <v>VÁLIDA</v>
      </c>
      <c r="BB34" s="290">
        <v>434910</v>
      </c>
      <c r="BC34" s="171">
        <f t="shared" si="152"/>
        <v>41751360</v>
      </c>
      <c r="BD34" s="172" t="str">
        <f t="shared" si="153"/>
        <v>VÁLIDA</v>
      </c>
    </row>
    <row r="35" spans="1:57" ht="40.5" customHeight="1" x14ac:dyDescent="0.2">
      <c r="A35" s="11"/>
      <c r="B35" s="167">
        <v>18</v>
      </c>
      <c r="C35" s="168" t="s">
        <v>126</v>
      </c>
      <c r="D35" s="169" t="s">
        <v>158</v>
      </c>
      <c r="E35" s="168" t="s">
        <v>157</v>
      </c>
      <c r="F35" s="199">
        <v>7600</v>
      </c>
      <c r="G35" s="287">
        <v>52674</v>
      </c>
      <c r="H35" s="170">
        <f t="shared" si="122"/>
        <v>400322400</v>
      </c>
      <c r="I35" s="290">
        <v>50000</v>
      </c>
      <c r="J35" s="171">
        <f t="shared" si="123"/>
        <v>380000000</v>
      </c>
      <c r="K35" s="172" t="str">
        <f t="shared" si="124"/>
        <v>VÁLIDA</v>
      </c>
      <c r="L35" s="290">
        <v>51397</v>
      </c>
      <c r="M35" s="171">
        <f t="shared" si="125"/>
        <v>390617200</v>
      </c>
      <c r="N35" s="172" t="str">
        <f t="shared" si="126"/>
        <v>VÁLIDA</v>
      </c>
      <c r="O35" s="290">
        <v>49999</v>
      </c>
      <c r="P35" s="171">
        <f t="shared" si="125"/>
        <v>379992400</v>
      </c>
      <c r="Q35" s="172" t="str">
        <f t="shared" si="127"/>
        <v>VÁLIDA</v>
      </c>
      <c r="R35" s="290">
        <v>52674</v>
      </c>
      <c r="S35" s="171">
        <f t="shared" si="128"/>
        <v>400322400</v>
      </c>
      <c r="T35" s="172" t="str">
        <f t="shared" si="129"/>
        <v>VÁLIDA</v>
      </c>
      <c r="U35" s="290"/>
      <c r="V35" s="171">
        <f t="shared" si="130"/>
        <v>0</v>
      </c>
      <c r="W35" s="172" t="str">
        <f t="shared" si="131"/>
        <v>NO VÁLIDA</v>
      </c>
      <c r="X35" s="290"/>
      <c r="Y35" s="171">
        <f t="shared" si="132"/>
        <v>0</v>
      </c>
      <c r="Z35" s="172" t="str">
        <f t="shared" si="133"/>
        <v>NO VÁLIDA</v>
      </c>
      <c r="AA35" s="290">
        <v>52674</v>
      </c>
      <c r="AB35" s="171">
        <f t="shared" si="134"/>
        <v>400322400</v>
      </c>
      <c r="AC35" s="172" t="str">
        <f t="shared" si="135"/>
        <v>VÁLIDA</v>
      </c>
      <c r="AD35" s="290">
        <v>50660</v>
      </c>
      <c r="AE35" s="171">
        <f t="shared" si="136"/>
        <v>385016000</v>
      </c>
      <c r="AF35" s="172" t="str">
        <f t="shared" si="137"/>
        <v>VÁLIDA</v>
      </c>
      <c r="AG35" s="290"/>
      <c r="AH35" s="171">
        <f t="shared" si="138"/>
        <v>0</v>
      </c>
      <c r="AI35" s="172" t="str">
        <f t="shared" si="139"/>
        <v>NO VÁLIDA</v>
      </c>
      <c r="AJ35" s="290"/>
      <c r="AK35" s="171">
        <f t="shared" si="140"/>
        <v>0</v>
      </c>
      <c r="AL35" s="172" t="str">
        <f t="shared" si="141"/>
        <v>NO VÁLIDA</v>
      </c>
      <c r="AM35" s="290"/>
      <c r="AN35" s="171">
        <f t="shared" si="142"/>
        <v>0</v>
      </c>
      <c r="AO35" s="172" t="str">
        <f t="shared" si="143"/>
        <v>NO VÁLIDA</v>
      </c>
      <c r="AP35" s="290"/>
      <c r="AQ35" s="171">
        <f t="shared" si="144"/>
        <v>0</v>
      </c>
      <c r="AR35" s="172" t="str">
        <f t="shared" si="145"/>
        <v>NO VÁLIDA</v>
      </c>
      <c r="AS35" s="290">
        <v>52000</v>
      </c>
      <c r="AT35" s="171">
        <f t="shared" si="146"/>
        <v>395200000</v>
      </c>
      <c r="AU35" s="172" t="str">
        <f t="shared" si="147"/>
        <v>VÁLIDA</v>
      </c>
      <c r="AV35" s="290"/>
      <c r="AW35" s="171">
        <f t="shared" si="148"/>
        <v>0</v>
      </c>
      <c r="AX35" s="172" t="str">
        <f t="shared" si="149"/>
        <v>NO VÁLIDA</v>
      </c>
      <c r="AY35" s="290">
        <v>52600</v>
      </c>
      <c r="AZ35" s="171">
        <f t="shared" si="150"/>
        <v>399760000</v>
      </c>
      <c r="BA35" s="172" t="str">
        <f t="shared" si="151"/>
        <v>VÁLIDA</v>
      </c>
      <c r="BB35" s="290">
        <v>52674</v>
      </c>
      <c r="BC35" s="171">
        <f t="shared" si="152"/>
        <v>400322400</v>
      </c>
      <c r="BD35" s="172" t="str">
        <f t="shared" si="153"/>
        <v>VÁLIDA</v>
      </c>
    </row>
    <row r="36" spans="1:57" ht="30.6" customHeight="1" x14ac:dyDescent="0.2">
      <c r="A36" s="11"/>
      <c r="B36" s="167">
        <v>19</v>
      </c>
      <c r="C36" s="168" t="s">
        <v>127</v>
      </c>
      <c r="D36" s="169" t="s">
        <v>159</v>
      </c>
      <c r="E36" s="168" t="s">
        <v>106</v>
      </c>
      <c r="F36" s="199">
        <v>760</v>
      </c>
      <c r="G36" s="287">
        <v>7688</v>
      </c>
      <c r="H36" s="170">
        <f t="shared" si="122"/>
        <v>5842880</v>
      </c>
      <c r="I36" s="290">
        <v>7688</v>
      </c>
      <c r="J36" s="171">
        <f t="shared" si="123"/>
        <v>5842880</v>
      </c>
      <c r="K36" s="172" t="str">
        <f t="shared" si="124"/>
        <v>VÁLIDA</v>
      </c>
      <c r="L36" s="290">
        <v>7515</v>
      </c>
      <c r="M36" s="171">
        <f t="shared" si="125"/>
        <v>5711400</v>
      </c>
      <c r="N36" s="172" t="str">
        <f t="shared" si="126"/>
        <v>VÁLIDA</v>
      </c>
      <c r="O36" s="290">
        <v>7688</v>
      </c>
      <c r="P36" s="171">
        <f t="shared" si="125"/>
        <v>5842880</v>
      </c>
      <c r="Q36" s="172" t="str">
        <f t="shared" si="127"/>
        <v>VÁLIDA</v>
      </c>
      <c r="R36" s="290">
        <v>7688</v>
      </c>
      <c r="S36" s="171">
        <f t="shared" si="128"/>
        <v>5842880</v>
      </c>
      <c r="T36" s="172" t="str">
        <f t="shared" si="129"/>
        <v>VÁLIDA</v>
      </c>
      <c r="U36" s="290"/>
      <c r="V36" s="171">
        <f t="shared" si="130"/>
        <v>0</v>
      </c>
      <c r="W36" s="172" t="str">
        <f t="shared" si="131"/>
        <v>NO VÁLIDA</v>
      </c>
      <c r="X36" s="290"/>
      <c r="Y36" s="171">
        <f t="shared" si="132"/>
        <v>0</v>
      </c>
      <c r="Z36" s="172" t="str">
        <f t="shared" si="133"/>
        <v>NO VÁLIDA</v>
      </c>
      <c r="AA36" s="290">
        <v>7688</v>
      </c>
      <c r="AB36" s="171">
        <f t="shared" si="134"/>
        <v>5842880</v>
      </c>
      <c r="AC36" s="172" t="str">
        <f t="shared" si="135"/>
        <v>VÁLIDA</v>
      </c>
      <c r="AD36" s="290">
        <v>7688</v>
      </c>
      <c r="AE36" s="171">
        <f t="shared" si="136"/>
        <v>5842880</v>
      </c>
      <c r="AF36" s="172" t="str">
        <f t="shared" si="137"/>
        <v>VÁLIDA</v>
      </c>
      <c r="AG36" s="290"/>
      <c r="AH36" s="171">
        <f t="shared" si="138"/>
        <v>0</v>
      </c>
      <c r="AI36" s="172" t="str">
        <f t="shared" si="139"/>
        <v>NO VÁLIDA</v>
      </c>
      <c r="AJ36" s="290"/>
      <c r="AK36" s="171">
        <f t="shared" si="140"/>
        <v>0</v>
      </c>
      <c r="AL36" s="172" t="str">
        <f t="shared" si="141"/>
        <v>NO VÁLIDA</v>
      </c>
      <c r="AM36" s="290"/>
      <c r="AN36" s="171">
        <f t="shared" si="142"/>
        <v>0</v>
      </c>
      <c r="AO36" s="172" t="str">
        <f t="shared" si="143"/>
        <v>NO VÁLIDA</v>
      </c>
      <c r="AP36" s="290"/>
      <c r="AQ36" s="171">
        <f t="shared" si="144"/>
        <v>0</v>
      </c>
      <c r="AR36" s="172" t="str">
        <f t="shared" si="145"/>
        <v>NO VÁLIDA</v>
      </c>
      <c r="AS36" s="290">
        <v>7500</v>
      </c>
      <c r="AT36" s="171">
        <f t="shared" si="146"/>
        <v>5700000</v>
      </c>
      <c r="AU36" s="172" t="str">
        <f t="shared" si="147"/>
        <v>VÁLIDA</v>
      </c>
      <c r="AV36" s="290"/>
      <c r="AW36" s="171">
        <f t="shared" si="148"/>
        <v>0</v>
      </c>
      <c r="AX36" s="172" t="str">
        <f t="shared" si="149"/>
        <v>NO VÁLIDA</v>
      </c>
      <c r="AY36" s="290">
        <v>7688</v>
      </c>
      <c r="AZ36" s="171">
        <f t="shared" si="150"/>
        <v>5842880</v>
      </c>
      <c r="BA36" s="172" t="str">
        <f t="shared" si="151"/>
        <v>VÁLIDA</v>
      </c>
      <c r="BB36" s="290">
        <v>7688</v>
      </c>
      <c r="BC36" s="171">
        <f t="shared" si="152"/>
        <v>5842880</v>
      </c>
      <c r="BD36" s="172" t="str">
        <f t="shared" si="153"/>
        <v>VÁLIDA</v>
      </c>
    </row>
    <row r="37" spans="1:57" ht="30.6" customHeight="1" x14ac:dyDescent="0.2">
      <c r="A37" s="11"/>
      <c r="B37" s="167">
        <v>20</v>
      </c>
      <c r="C37" s="168" t="s">
        <v>103</v>
      </c>
      <c r="D37" s="169" t="s">
        <v>160</v>
      </c>
      <c r="E37" s="168" t="s">
        <v>105</v>
      </c>
      <c r="F37" s="199">
        <v>240</v>
      </c>
      <c r="G37" s="287">
        <v>77021</v>
      </c>
      <c r="H37" s="170">
        <f t="shared" si="122"/>
        <v>18485040</v>
      </c>
      <c r="I37" s="290">
        <v>77021</v>
      </c>
      <c r="J37" s="171">
        <f t="shared" si="123"/>
        <v>18485040</v>
      </c>
      <c r="K37" s="172" t="str">
        <f t="shared" si="124"/>
        <v>VÁLIDA</v>
      </c>
      <c r="L37" s="290">
        <v>75699</v>
      </c>
      <c r="M37" s="171">
        <f t="shared" ref="M37:P39" si="154">ROUND($F37*L37,0)</f>
        <v>18167760</v>
      </c>
      <c r="N37" s="172" t="str">
        <f t="shared" si="126"/>
        <v>VÁLIDA</v>
      </c>
      <c r="O37" s="290">
        <v>77021</v>
      </c>
      <c r="P37" s="171">
        <f t="shared" si="154"/>
        <v>18485040</v>
      </c>
      <c r="Q37" s="172" t="str">
        <f t="shared" si="127"/>
        <v>VÁLIDA</v>
      </c>
      <c r="R37" s="290">
        <v>77021</v>
      </c>
      <c r="S37" s="171">
        <f t="shared" si="128"/>
        <v>18485040</v>
      </c>
      <c r="T37" s="172" t="str">
        <f t="shared" si="129"/>
        <v>VÁLIDA</v>
      </c>
      <c r="U37" s="290"/>
      <c r="V37" s="171">
        <f t="shared" si="130"/>
        <v>0</v>
      </c>
      <c r="W37" s="172" t="str">
        <f t="shared" si="131"/>
        <v>NO VÁLIDA</v>
      </c>
      <c r="X37" s="290"/>
      <c r="Y37" s="171">
        <f t="shared" si="132"/>
        <v>0</v>
      </c>
      <c r="Z37" s="172" t="str">
        <f t="shared" si="133"/>
        <v>NO VÁLIDA</v>
      </c>
      <c r="AA37" s="290">
        <v>77021</v>
      </c>
      <c r="AB37" s="171">
        <f t="shared" si="134"/>
        <v>18485040</v>
      </c>
      <c r="AC37" s="172" t="str">
        <f t="shared" si="135"/>
        <v>VÁLIDA</v>
      </c>
      <c r="AD37" s="290">
        <v>77021</v>
      </c>
      <c r="AE37" s="171">
        <f t="shared" si="136"/>
        <v>18485040</v>
      </c>
      <c r="AF37" s="172" t="str">
        <f t="shared" si="137"/>
        <v>VÁLIDA</v>
      </c>
      <c r="AG37" s="290"/>
      <c r="AH37" s="171">
        <f t="shared" si="138"/>
        <v>0</v>
      </c>
      <c r="AI37" s="172" t="str">
        <f t="shared" si="139"/>
        <v>NO VÁLIDA</v>
      </c>
      <c r="AJ37" s="290"/>
      <c r="AK37" s="171">
        <f t="shared" si="140"/>
        <v>0</v>
      </c>
      <c r="AL37" s="172" t="str">
        <f t="shared" si="141"/>
        <v>NO VÁLIDA</v>
      </c>
      <c r="AM37" s="290"/>
      <c r="AN37" s="171">
        <f t="shared" si="142"/>
        <v>0</v>
      </c>
      <c r="AO37" s="172" t="str">
        <f t="shared" si="143"/>
        <v>NO VÁLIDA</v>
      </c>
      <c r="AP37" s="290"/>
      <c r="AQ37" s="171">
        <f t="shared" si="144"/>
        <v>0</v>
      </c>
      <c r="AR37" s="172" t="str">
        <f t="shared" si="145"/>
        <v>NO VÁLIDA</v>
      </c>
      <c r="AS37" s="290">
        <v>77000</v>
      </c>
      <c r="AT37" s="171">
        <f t="shared" si="146"/>
        <v>18480000</v>
      </c>
      <c r="AU37" s="172" t="str">
        <f t="shared" si="147"/>
        <v>VÁLIDA</v>
      </c>
      <c r="AV37" s="290"/>
      <c r="AW37" s="171">
        <f t="shared" si="148"/>
        <v>0</v>
      </c>
      <c r="AX37" s="172" t="str">
        <f t="shared" si="149"/>
        <v>NO VÁLIDA</v>
      </c>
      <c r="AY37" s="290">
        <v>77021</v>
      </c>
      <c r="AZ37" s="171">
        <f t="shared" si="150"/>
        <v>18485040</v>
      </c>
      <c r="BA37" s="172" t="str">
        <f t="shared" si="151"/>
        <v>VÁLIDA</v>
      </c>
      <c r="BB37" s="290">
        <v>77021</v>
      </c>
      <c r="BC37" s="171">
        <f t="shared" si="152"/>
        <v>18485040</v>
      </c>
      <c r="BD37" s="172" t="str">
        <f t="shared" si="153"/>
        <v>VÁLIDA</v>
      </c>
    </row>
    <row r="38" spans="1:57" ht="40.5" customHeight="1" x14ac:dyDescent="0.2">
      <c r="A38" s="11"/>
      <c r="B38" s="167">
        <v>21</v>
      </c>
      <c r="C38" s="168" t="s">
        <v>128</v>
      </c>
      <c r="D38" s="169" t="s">
        <v>161</v>
      </c>
      <c r="E38" s="168" t="s">
        <v>105</v>
      </c>
      <c r="F38" s="199">
        <v>120</v>
      </c>
      <c r="G38" s="287">
        <v>161887</v>
      </c>
      <c r="H38" s="170">
        <f t="shared" si="122"/>
        <v>19426440</v>
      </c>
      <c r="I38" s="290">
        <v>161887</v>
      </c>
      <c r="J38" s="171">
        <f t="shared" si="123"/>
        <v>19426440</v>
      </c>
      <c r="K38" s="172" t="str">
        <f t="shared" si="124"/>
        <v>VÁLIDA</v>
      </c>
      <c r="L38" s="290">
        <v>158693</v>
      </c>
      <c r="M38" s="171">
        <f t="shared" si="154"/>
        <v>19043160</v>
      </c>
      <c r="N38" s="172" t="str">
        <f t="shared" si="126"/>
        <v>VÁLIDA</v>
      </c>
      <c r="O38" s="290">
        <v>161887</v>
      </c>
      <c r="P38" s="171">
        <f t="shared" si="154"/>
        <v>19426440</v>
      </c>
      <c r="Q38" s="172" t="str">
        <f t="shared" si="127"/>
        <v>VÁLIDA</v>
      </c>
      <c r="R38" s="290">
        <v>161887</v>
      </c>
      <c r="S38" s="171">
        <f t="shared" si="128"/>
        <v>19426440</v>
      </c>
      <c r="T38" s="172" t="str">
        <f t="shared" si="129"/>
        <v>VÁLIDA</v>
      </c>
      <c r="U38" s="290"/>
      <c r="V38" s="171">
        <f t="shared" si="130"/>
        <v>0</v>
      </c>
      <c r="W38" s="172" t="str">
        <f t="shared" si="131"/>
        <v>NO VÁLIDA</v>
      </c>
      <c r="X38" s="290"/>
      <c r="Y38" s="171">
        <f t="shared" si="132"/>
        <v>0</v>
      </c>
      <c r="Z38" s="172" t="str">
        <f t="shared" si="133"/>
        <v>NO VÁLIDA</v>
      </c>
      <c r="AA38" s="290">
        <v>161887</v>
      </c>
      <c r="AB38" s="171">
        <f t="shared" si="134"/>
        <v>19426440</v>
      </c>
      <c r="AC38" s="172" t="str">
        <f t="shared" si="135"/>
        <v>VÁLIDA</v>
      </c>
      <c r="AD38" s="290">
        <v>161887</v>
      </c>
      <c r="AE38" s="171">
        <f t="shared" si="136"/>
        <v>19426440</v>
      </c>
      <c r="AF38" s="172" t="str">
        <f t="shared" si="137"/>
        <v>VÁLIDA</v>
      </c>
      <c r="AG38" s="290"/>
      <c r="AH38" s="171">
        <f t="shared" si="138"/>
        <v>0</v>
      </c>
      <c r="AI38" s="172" t="str">
        <f t="shared" si="139"/>
        <v>NO VÁLIDA</v>
      </c>
      <c r="AJ38" s="290"/>
      <c r="AK38" s="171">
        <f t="shared" si="140"/>
        <v>0</v>
      </c>
      <c r="AL38" s="172" t="str">
        <f t="shared" si="141"/>
        <v>NO VÁLIDA</v>
      </c>
      <c r="AM38" s="290"/>
      <c r="AN38" s="171">
        <f t="shared" si="142"/>
        <v>0</v>
      </c>
      <c r="AO38" s="172" t="str">
        <f t="shared" si="143"/>
        <v>NO VÁLIDA</v>
      </c>
      <c r="AP38" s="290"/>
      <c r="AQ38" s="171">
        <f t="shared" si="144"/>
        <v>0</v>
      </c>
      <c r="AR38" s="172" t="str">
        <f t="shared" si="145"/>
        <v>NO VÁLIDA</v>
      </c>
      <c r="AS38" s="290">
        <v>160000</v>
      </c>
      <c r="AT38" s="171">
        <f t="shared" si="146"/>
        <v>19200000</v>
      </c>
      <c r="AU38" s="172" t="str">
        <f t="shared" si="147"/>
        <v>VÁLIDA</v>
      </c>
      <c r="AV38" s="290"/>
      <c r="AW38" s="171">
        <f t="shared" si="148"/>
        <v>0</v>
      </c>
      <c r="AX38" s="172" t="str">
        <f t="shared" si="149"/>
        <v>NO VÁLIDA</v>
      </c>
      <c r="AY38" s="290">
        <v>161887</v>
      </c>
      <c r="AZ38" s="171">
        <f t="shared" si="150"/>
        <v>19426440</v>
      </c>
      <c r="BA38" s="172" t="str">
        <f t="shared" si="151"/>
        <v>VÁLIDA</v>
      </c>
      <c r="BB38" s="290">
        <v>161887</v>
      </c>
      <c r="BC38" s="171">
        <f t="shared" si="152"/>
        <v>19426440</v>
      </c>
      <c r="BD38" s="172" t="str">
        <f t="shared" si="153"/>
        <v>VÁLIDA</v>
      </c>
    </row>
    <row r="39" spans="1:57" ht="30.6" customHeight="1" thickBot="1" x14ac:dyDescent="0.25">
      <c r="A39" s="11"/>
      <c r="B39" s="167">
        <v>22</v>
      </c>
      <c r="C39" s="168" t="s">
        <v>129</v>
      </c>
      <c r="D39" s="169" t="s">
        <v>162</v>
      </c>
      <c r="E39" s="168" t="s">
        <v>157</v>
      </c>
      <c r="F39" s="199">
        <v>530</v>
      </c>
      <c r="G39" s="287">
        <v>13674</v>
      </c>
      <c r="H39" s="170">
        <f t="shared" si="122"/>
        <v>7247220</v>
      </c>
      <c r="I39" s="292">
        <v>13674</v>
      </c>
      <c r="J39" s="249">
        <f t="shared" si="123"/>
        <v>7247220</v>
      </c>
      <c r="K39" s="250" t="str">
        <f t="shared" si="124"/>
        <v>VÁLIDA</v>
      </c>
      <c r="L39" s="292">
        <v>13335</v>
      </c>
      <c r="M39" s="249">
        <f t="shared" si="154"/>
        <v>7067550</v>
      </c>
      <c r="N39" s="250" t="str">
        <f t="shared" si="126"/>
        <v>VÁLIDA</v>
      </c>
      <c r="O39" s="292">
        <v>13209</v>
      </c>
      <c r="P39" s="249">
        <f t="shared" si="154"/>
        <v>7000770</v>
      </c>
      <c r="Q39" s="250" t="str">
        <f t="shared" si="127"/>
        <v>VÁLIDA</v>
      </c>
      <c r="R39" s="292">
        <v>13674</v>
      </c>
      <c r="S39" s="249">
        <f t="shared" si="128"/>
        <v>7247220</v>
      </c>
      <c r="T39" s="250" t="str">
        <f t="shared" si="129"/>
        <v>VÁLIDA</v>
      </c>
      <c r="U39" s="292"/>
      <c r="V39" s="249">
        <f t="shared" si="130"/>
        <v>0</v>
      </c>
      <c r="W39" s="250" t="str">
        <f t="shared" si="131"/>
        <v>NO VÁLIDA</v>
      </c>
      <c r="X39" s="292"/>
      <c r="Y39" s="249">
        <f t="shared" si="132"/>
        <v>0</v>
      </c>
      <c r="Z39" s="250" t="str">
        <f t="shared" si="133"/>
        <v>NO VÁLIDA</v>
      </c>
      <c r="AA39" s="292">
        <v>13674</v>
      </c>
      <c r="AB39" s="249">
        <f t="shared" si="134"/>
        <v>7247220</v>
      </c>
      <c r="AC39" s="250" t="str">
        <f t="shared" si="135"/>
        <v>VÁLIDA</v>
      </c>
      <c r="AD39" s="292">
        <v>13674</v>
      </c>
      <c r="AE39" s="249">
        <f t="shared" si="136"/>
        <v>7247220</v>
      </c>
      <c r="AF39" s="250" t="str">
        <f t="shared" si="137"/>
        <v>VÁLIDA</v>
      </c>
      <c r="AG39" s="292"/>
      <c r="AH39" s="249">
        <f t="shared" si="138"/>
        <v>0</v>
      </c>
      <c r="AI39" s="250" t="str">
        <f t="shared" si="139"/>
        <v>NO VÁLIDA</v>
      </c>
      <c r="AJ39" s="292"/>
      <c r="AK39" s="249">
        <f t="shared" si="140"/>
        <v>0</v>
      </c>
      <c r="AL39" s="250" t="str">
        <f t="shared" si="141"/>
        <v>NO VÁLIDA</v>
      </c>
      <c r="AM39" s="292"/>
      <c r="AN39" s="249">
        <f t="shared" si="142"/>
        <v>0</v>
      </c>
      <c r="AO39" s="250" t="str">
        <f t="shared" si="143"/>
        <v>NO VÁLIDA</v>
      </c>
      <c r="AP39" s="292"/>
      <c r="AQ39" s="249">
        <f t="shared" si="144"/>
        <v>0</v>
      </c>
      <c r="AR39" s="250" t="str">
        <f t="shared" si="145"/>
        <v>NO VÁLIDA</v>
      </c>
      <c r="AS39" s="292">
        <v>13000</v>
      </c>
      <c r="AT39" s="249">
        <f t="shared" si="146"/>
        <v>6890000</v>
      </c>
      <c r="AU39" s="250" t="str">
        <f t="shared" si="147"/>
        <v>VÁLIDA</v>
      </c>
      <c r="AV39" s="292"/>
      <c r="AW39" s="249">
        <f t="shared" si="148"/>
        <v>0</v>
      </c>
      <c r="AX39" s="250" t="str">
        <f t="shared" si="149"/>
        <v>NO VÁLIDA</v>
      </c>
      <c r="AY39" s="292">
        <v>13674</v>
      </c>
      <c r="AZ39" s="249">
        <f t="shared" si="150"/>
        <v>7247220</v>
      </c>
      <c r="BA39" s="250" t="str">
        <f t="shared" si="151"/>
        <v>VÁLIDA</v>
      </c>
      <c r="BB39" s="292">
        <v>13674</v>
      </c>
      <c r="BC39" s="249">
        <f t="shared" si="152"/>
        <v>7247220</v>
      </c>
      <c r="BD39" s="250" t="str">
        <f t="shared" si="153"/>
        <v>VÁLIDA</v>
      </c>
    </row>
    <row r="40" spans="1:57" ht="22.5" customHeight="1" x14ac:dyDescent="0.2">
      <c r="A40" s="11"/>
      <c r="B40" s="165" t="s">
        <v>138</v>
      </c>
      <c r="C40" s="166"/>
      <c r="D40" s="166"/>
      <c r="E40" s="166"/>
      <c r="F40" s="200"/>
      <c r="G40" s="288"/>
      <c r="H40" s="194">
        <f>SUM(H41:H42)</f>
        <v>203940880</v>
      </c>
      <c r="I40" s="291"/>
      <c r="J40" s="196">
        <f>SUM(J41:J42)</f>
        <v>184000000</v>
      </c>
      <c r="K40" s="197"/>
      <c r="L40" s="291"/>
      <c r="M40" s="196">
        <f t="shared" ref="M40" si="155">SUM(M41:M42)</f>
        <v>199633360</v>
      </c>
      <c r="N40" s="197"/>
      <c r="O40" s="291"/>
      <c r="P40" s="196">
        <f t="shared" ref="P40" si="156">SUM(P41:P42)</f>
        <v>201108880</v>
      </c>
      <c r="Q40" s="197"/>
      <c r="R40" s="291"/>
      <c r="S40" s="196">
        <f t="shared" ref="S40:BC40" si="157">SUM(S41:S42)</f>
        <v>203940880</v>
      </c>
      <c r="T40" s="197"/>
      <c r="U40" s="291"/>
      <c r="V40" s="196">
        <f t="shared" si="157"/>
        <v>0</v>
      </c>
      <c r="W40" s="197"/>
      <c r="X40" s="291"/>
      <c r="Y40" s="196">
        <f t="shared" si="157"/>
        <v>0</v>
      </c>
      <c r="Z40" s="197"/>
      <c r="AA40" s="291"/>
      <c r="AB40" s="196">
        <f t="shared" si="157"/>
        <v>203940880</v>
      </c>
      <c r="AC40" s="197"/>
      <c r="AD40" s="291"/>
      <c r="AE40" s="196">
        <f t="shared" si="157"/>
        <v>203940880</v>
      </c>
      <c r="AF40" s="197"/>
      <c r="AG40" s="291"/>
      <c r="AH40" s="196">
        <f t="shared" si="157"/>
        <v>0</v>
      </c>
      <c r="AI40" s="197"/>
      <c r="AJ40" s="291"/>
      <c r="AK40" s="196">
        <f t="shared" si="157"/>
        <v>0</v>
      </c>
      <c r="AL40" s="197"/>
      <c r="AM40" s="291"/>
      <c r="AN40" s="196">
        <f t="shared" si="157"/>
        <v>0</v>
      </c>
      <c r="AO40" s="197"/>
      <c r="AP40" s="291"/>
      <c r="AQ40" s="196">
        <f t="shared" si="157"/>
        <v>0</v>
      </c>
      <c r="AR40" s="197"/>
      <c r="AS40" s="291"/>
      <c r="AT40" s="196">
        <f t="shared" si="157"/>
        <v>200720000</v>
      </c>
      <c r="AU40" s="197"/>
      <c r="AV40" s="291"/>
      <c r="AW40" s="196">
        <f t="shared" si="157"/>
        <v>0</v>
      </c>
      <c r="AX40" s="197"/>
      <c r="AY40" s="291"/>
      <c r="AZ40" s="196">
        <f t="shared" si="157"/>
        <v>203940880</v>
      </c>
      <c r="BA40" s="197"/>
      <c r="BB40" s="291"/>
      <c r="BC40" s="196">
        <f t="shared" si="157"/>
        <v>203940880</v>
      </c>
      <c r="BD40" s="197"/>
    </row>
    <row r="41" spans="1:57" ht="50.45" customHeight="1" x14ac:dyDescent="0.2">
      <c r="A41" s="11"/>
      <c r="B41" s="167">
        <v>23</v>
      </c>
      <c r="C41" s="168" t="s">
        <v>130</v>
      </c>
      <c r="D41" s="169" t="s">
        <v>163</v>
      </c>
      <c r="E41" s="168" t="s">
        <v>157</v>
      </c>
      <c r="F41" s="199">
        <v>48000</v>
      </c>
      <c r="G41" s="287">
        <v>3566</v>
      </c>
      <c r="H41" s="170">
        <f t="shared" ref="H41:H42" si="158">ROUND(G41*F41,0)</f>
        <v>171168000</v>
      </c>
      <c r="I41" s="290">
        <v>3200</v>
      </c>
      <c r="J41" s="171">
        <f t="shared" ref="J41:J42" si="159">ROUND($F41*I41,0)</f>
        <v>153600000</v>
      </c>
      <c r="K41" s="172" t="str">
        <f t="shared" ref="K41:K42" si="160">+IF(I41&gt;0,IF(OR(I41&gt;$G41,ROUND(I41,0)&gt;$G41),"NO VÁLIDA","VÁLIDA"),"NO VÁLIDA")</f>
        <v>VÁLIDA</v>
      </c>
      <c r="L41" s="290">
        <v>3491</v>
      </c>
      <c r="M41" s="171">
        <f t="shared" ref="M41:P42" si="161">ROUND($F41*L41,0)</f>
        <v>167568000</v>
      </c>
      <c r="N41" s="172" t="str">
        <f t="shared" ref="N41:N42" si="162">+IF(L41&gt;0,IF(OR(L41&gt;$G41,ROUND(L41,0)&gt;$G41),"NO VÁLIDA","VÁLIDA"),"NO VÁLIDA")</f>
        <v>VÁLIDA</v>
      </c>
      <c r="O41" s="290">
        <v>3507</v>
      </c>
      <c r="P41" s="171">
        <f t="shared" si="161"/>
        <v>168336000</v>
      </c>
      <c r="Q41" s="172" t="str">
        <f t="shared" ref="Q41:Q42" si="163">+IF(O41&gt;0,IF(OR(O41&gt;$G41,ROUND(O41,0)&gt;$G41),"NO VÁLIDA","VÁLIDA"),"NO VÁLIDA")</f>
        <v>VÁLIDA</v>
      </c>
      <c r="R41" s="290">
        <v>3566</v>
      </c>
      <c r="S41" s="171">
        <f t="shared" ref="S41:S42" si="164">ROUND($F41*R41,0)</f>
        <v>171168000</v>
      </c>
      <c r="T41" s="172" t="str">
        <f t="shared" ref="T41:T42" si="165">+IF(R41&gt;0,IF(OR(R41&gt;$G41,ROUND(R41,0)&gt;$G41),"NO VÁLIDA","VÁLIDA"),"NO VÁLIDA")</f>
        <v>VÁLIDA</v>
      </c>
      <c r="U41" s="290"/>
      <c r="V41" s="171">
        <f t="shared" ref="V41:V42" si="166">ROUND($F41*U41,0)</f>
        <v>0</v>
      </c>
      <c r="W41" s="172" t="str">
        <f t="shared" ref="W41:W42" si="167">+IF(U41&gt;0,IF(OR(U41&gt;$G41,ROUND(U41,0)&gt;$G41),"NO VÁLIDA","VÁLIDA"),"NO VÁLIDA")</f>
        <v>NO VÁLIDA</v>
      </c>
      <c r="X41" s="290"/>
      <c r="Y41" s="171">
        <f t="shared" ref="Y41:Y42" si="168">ROUND($F41*X41,0)</f>
        <v>0</v>
      </c>
      <c r="Z41" s="172" t="str">
        <f t="shared" ref="Z41:Z42" si="169">+IF(X41&gt;0,IF(OR(X41&gt;$G41,ROUND(X41,0)&gt;$G41),"NO VÁLIDA","VÁLIDA"),"NO VÁLIDA")</f>
        <v>NO VÁLIDA</v>
      </c>
      <c r="AA41" s="290">
        <v>3566</v>
      </c>
      <c r="AB41" s="171">
        <f t="shared" ref="AB41:AB42" si="170">ROUND($F41*AA41,0)</f>
        <v>171168000</v>
      </c>
      <c r="AC41" s="172" t="str">
        <f t="shared" ref="AC41:AC42" si="171">+IF(AA41&gt;0,IF(OR(AA41&gt;$G41,ROUND(AA41,0)&gt;$G41),"NO VÁLIDA","VÁLIDA"),"NO VÁLIDA")</f>
        <v>VÁLIDA</v>
      </c>
      <c r="AD41" s="290">
        <v>3566</v>
      </c>
      <c r="AE41" s="171">
        <f t="shared" ref="AE41:AE42" si="172">ROUND($F41*AD41,0)</f>
        <v>171168000</v>
      </c>
      <c r="AF41" s="172" t="str">
        <f t="shared" ref="AF41:AF42" si="173">+IF(AD41&gt;0,IF(OR(AD41&gt;$G41,ROUND(AD41,0)&gt;$G41),"NO VÁLIDA","VÁLIDA"),"NO VÁLIDA")</f>
        <v>VÁLIDA</v>
      </c>
      <c r="AG41" s="290"/>
      <c r="AH41" s="171">
        <f t="shared" ref="AH41:AH42" si="174">ROUND($F41*AG41,0)</f>
        <v>0</v>
      </c>
      <c r="AI41" s="172" t="str">
        <f t="shared" ref="AI41:AI42" si="175">+IF(AG41&gt;0,IF(OR(AG41&gt;$G41,ROUND(AG41,0)&gt;$G41),"NO VÁLIDA","VÁLIDA"),"NO VÁLIDA")</f>
        <v>NO VÁLIDA</v>
      </c>
      <c r="AJ41" s="290"/>
      <c r="AK41" s="171">
        <f t="shared" ref="AK41:AK42" si="176">ROUND($F41*AJ41,0)</f>
        <v>0</v>
      </c>
      <c r="AL41" s="172" t="str">
        <f t="shared" ref="AL41:AL42" si="177">+IF(AJ41&gt;0,IF(OR(AJ41&gt;$G41,ROUND(AJ41,0)&gt;$G41),"NO VÁLIDA","VÁLIDA"),"NO VÁLIDA")</f>
        <v>NO VÁLIDA</v>
      </c>
      <c r="AM41" s="290"/>
      <c r="AN41" s="171">
        <f t="shared" ref="AN41:AN42" si="178">ROUND($F41*AM41,0)</f>
        <v>0</v>
      </c>
      <c r="AO41" s="172" t="str">
        <f t="shared" ref="AO41:AO42" si="179">+IF(AM41&gt;0,IF(OR(AM41&gt;$G41,ROUND(AM41,0)&gt;$G41),"NO VÁLIDA","VÁLIDA"),"NO VÁLIDA")</f>
        <v>NO VÁLIDA</v>
      </c>
      <c r="AP41" s="290"/>
      <c r="AQ41" s="171">
        <f t="shared" ref="AQ41:AQ42" si="180">ROUND($F41*AP41,0)</f>
        <v>0</v>
      </c>
      <c r="AR41" s="172" t="str">
        <f t="shared" ref="AR41:AR42" si="181">+IF(AP41&gt;0,IF(OR(AP41&gt;$G41,ROUND(AP41,0)&gt;$G41),"NO VÁLIDA","VÁLIDA"),"NO VÁLIDA")</f>
        <v>NO VÁLIDA</v>
      </c>
      <c r="AS41" s="290">
        <v>3500</v>
      </c>
      <c r="AT41" s="171">
        <f t="shared" ref="AT41:AT42" si="182">ROUND($F41*AS41,0)</f>
        <v>168000000</v>
      </c>
      <c r="AU41" s="172" t="str">
        <f t="shared" ref="AU41:AU42" si="183">+IF(AS41&gt;0,IF(OR(AS41&gt;$G41,ROUND(AS41,0)&gt;$G41),"NO VÁLIDA","VÁLIDA"),"NO VÁLIDA")</f>
        <v>VÁLIDA</v>
      </c>
      <c r="AV41" s="290"/>
      <c r="AW41" s="171">
        <f t="shared" ref="AW41:AW42" si="184">ROUND($F41*AV41,0)</f>
        <v>0</v>
      </c>
      <c r="AX41" s="172" t="str">
        <f t="shared" ref="AX41:AX42" si="185">+IF(AV41&gt;0,IF(OR(AV41&gt;$G41,ROUND(AV41,0)&gt;$G41),"NO VÁLIDA","VÁLIDA"),"NO VÁLIDA")</f>
        <v>NO VÁLIDA</v>
      </c>
      <c r="AY41" s="290">
        <v>3566</v>
      </c>
      <c r="AZ41" s="171">
        <f t="shared" ref="AZ41:AZ42" si="186">ROUND($F41*AY41,0)</f>
        <v>171168000</v>
      </c>
      <c r="BA41" s="172" t="str">
        <f t="shared" ref="BA41:BA42" si="187">+IF(AY41&gt;0,IF(OR(AY41&gt;$G41,ROUND(AY41,0)&gt;$G41),"NO VÁLIDA","VÁLIDA"),"NO VÁLIDA")</f>
        <v>VÁLIDA</v>
      </c>
      <c r="BB41" s="290">
        <v>3566</v>
      </c>
      <c r="BC41" s="171">
        <f t="shared" ref="BC41:BC42" si="188">ROUND($F41*BB41,0)</f>
        <v>171168000</v>
      </c>
      <c r="BD41" s="172" t="str">
        <f t="shared" ref="BD41:BD42" si="189">+IF(BB41&gt;0,IF(OR(BB41&gt;$G41,ROUND(BB41,0)&gt;$G41),"NO VÁLIDA","VÁLIDA"),"NO VÁLIDA")</f>
        <v>VÁLIDA</v>
      </c>
    </row>
    <row r="42" spans="1:57" ht="40.5" customHeight="1" thickBot="1" x14ac:dyDescent="0.25">
      <c r="A42" s="11"/>
      <c r="B42" s="167">
        <v>24</v>
      </c>
      <c r="C42" s="168" t="s">
        <v>104</v>
      </c>
      <c r="D42" s="169" t="s">
        <v>164</v>
      </c>
      <c r="E42" s="168" t="s">
        <v>165</v>
      </c>
      <c r="F42" s="199">
        <v>80</v>
      </c>
      <c r="G42" s="287">
        <v>409661</v>
      </c>
      <c r="H42" s="170">
        <f t="shared" si="158"/>
        <v>32772880</v>
      </c>
      <c r="I42" s="292">
        <v>380000</v>
      </c>
      <c r="J42" s="249">
        <f t="shared" si="159"/>
        <v>30400000</v>
      </c>
      <c r="K42" s="250" t="str">
        <f t="shared" si="160"/>
        <v>VÁLIDA</v>
      </c>
      <c r="L42" s="292">
        <v>400817</v>
      </c>
      <c r="M42" s="249">
        <f t="shared" si="161"/>
        <v>32065360</v>
      </c>
      <c r="N42" s="250" t="str">
        <f t="shared" si="162"/>
        <v>VÁLIDA</v>
      </c>
      <c r="O42" s="292">
        <v>409661</v>
      </c>
      <c r="P42" s="249">
        <f t="shared" si="161"/>
        <v>32772880</v>
      </c>
      <c r="Q42" s="250" t="str">
        <f t="shared" si="163"/>
        <v>VÁLIDA</v>
      </c>
      <c r="R42" s="292">
        <v>409661</v>
      </c>
      <c r="S42" s="249">
        <f t="shared" si="164"/>
        <v>32772880</v>
      </c>
      <c r="T42" s="250" t="str">
        <f t="shared" si="165"/>
        <v>VÁLIDA</v>
      </c>
      <c r="U42" s="292"/>
      <c r="V42" s="249">
        <f t="shared" si="166"/>
        <v>0</v>
      </c>
      <c r="W42" s="250" t="str">
        <f t="shared" si="167"/>
        <v>NO VÁLIDA</v>
      </c>
      <c r="X42" s="292"/>
      <c r="Y42" s="249">
        <f t="shared" si="168"/>
        <v>0</v>
      </c>
      <c r="Z42" s="250" t="str">
        <f t="shared" si="169"/>
        <v>NO VÁLIDA</v>
      </c>
      <c r="AA42" s="292">
        <v>409661</v>
      </c>
      <c r="AB42" s="249">
        <f t="shared" si="170"/>
        <v>32772880</v>
      </c>
      <c r="AC42" s="250" t="str">
        <f t="shared" si="171"/>
        <v>VÁLIDA</v>
      </c>
      <c r="AD42" s="292">
        <v>409661</v>
      </c>
      <c r="AE42" s="249">
        <f t="shared" si="172"/>
        <v>32772880</v>
      </c>
      <c r="AF42" s="250" t="str">
        <f t="shared" si="173"/>
        <v>VÁLIDA</v>
      </c>
      <c r="AG42" s="292"/>
      <c r="AH42" s="249">
        <f t="shared" si="174"/>
        <v>0</v>
      </c>
      <c r="AI42" s="250" t="str">
        <f t="shared" si="175"/>
        <v>NO VÁLIDA</v>
      </c>
      <c r="AJ42" s="292"/>
      <c r="AK42" s="249">
        <f t="shared" si="176"/>
        <v>0</v>
      </c>
      <c r="AL42" s="250" t="str">
        <f t="shared" si="177"/>
        <v>NO VÁLIDA</v>
      </c>
      <c r="AM42" s="292"/>
      <c r="AN42" s="249">
        <f t="shared" si="178"/>
        <v>0</v>
      </c>
      <c r="AO42" s="250" t="str">
        <f t="shared" si="179"/>
        <v>NO VÁLIDA</v>
      </c>
      <c r="AP42" s="292"/>
      <c r="AQ42" s="249">
        <f t="shared" si="180"/>
        <v>0</v>
      </c>
      <c r="AR42" s="250" t="str">
        <f t="shared" si="181"/>
        <v>NO VÁLIDA</v>
      </c>
      <c r="AS42" s="292">
        <v>409000</v>
      </c>
      <c r="AT42" s="249">
        <f t="shared" si="182"/>
        <v>32720000</v>
      </c>
      <c r="AU42" s="250" t="str">
        <f t="shared" si="183"/>
        <v>VÁLIDA</v>
      </c>
      <c r="AV42" s="292"/>
      <c r="AW42" s="249">
        <f t="shared" si="184"/>
        <v>0</v>
      </c>
      <c r="AX42" s="250" t="str">
        <f t="shared" si="185"/>
        <v>NO VÁLIDA</v>
      </c>
      <c r="AY42" s="292">
        <v>409661</v>
      </c>
      <c r="AZ42" s="249">
        <f t="shared" si="186"/>
        <v>32772880</v>
      </c>
      <c r="BA42" s="250" t="str">
        <f t="shared" si="187"/>
        <v>VÁLIDA</v>
      </c>
      <c r="BB42" s="292">
        <v>409661</v>
      </c>
      <c r="BC42" s="249">
        <f t="shared" si="188"/>
        <v>32772880</v>
      </c>
      <c r="BD42" s="250" t="str">
        <f t="shared" si="189"/>
        <v>VÁLIDA</v>
      </c>
    </row>
    <row r="43" spans="1:57" ht="22.5" customHeight="1" x14ac:dyDescent="0.2">
      <c r="A43" s="11"/>
      <c r="B43" s="165" t="s">
        <v>139</v>
      </c>
      <c r="C43" s="166"/>
      <c r="D43" s="166"/>
      <c r="E43" s="166"/>
      <c r="F43" s="200"/>
      <c r="G43" s="288"/>
      <c r="H43" s="194">
        <f>SUM(H44:H47)</f>
        <v>489169621</v>
      </c>
      <c r="I43" s="291"/>
      <c r="J43" s="196">
        <f>SUM(J44:J47)</f>
        <v>472301217</v>
      </c>
      <c r="K43" s="197"/>
      <c r="L43" s="291"/>
      <c r="M43" s="196">
        <f t="shared" ref="M43" si="190">SUM(M44:M47)</f>
        <v>487821084</v>
      </c>
      <c r="N43" s="197"/>
      <c r="O43" s="291"/>
      <c r="P43" s="196">
        <f t="shared" ref="P43" si="191">SUM(P44:P47)</f>
        <v>489169621</v>
      </c>
      <c r="Q43" s="197"/>
      <c r="R43" s="291"/>
      <c r="S43" s="196">
        <f t="shared" ref="S43:BC43" si="192">SUM(S44:S47)</f>
        <v>489169621</v>
      </c>
      <c r="T43" s="197"/>
      <c r="U43" s="291"/>
      <c r="V43" s="196">
        <f t="shared" si="192"/>
        <v>0</v>
      </c>
      <c r="W43" s="197"/>
      <c r="X43" s="291"/>
      <c r="Y43" s="196">
        <f t="shared" si="192"/>
        <v>0</v>
      </c>
      <c r="Z43" s="197"/>
      <c r="AA43" s="291"/>
      <c r="AB43" s="196">
        <f t="shared" si="192"/>
        <v>489169621</v>
      </c>
      <c r="AC43" s="197"/>
      <c r="AD43" s="291"/>
      <c r="AE43" s="196">
        <f t="shared" si="192"/>
        <v>489169621</v>
      </c>
      <c r="AF43" s="197"/>
      <c r="AG43" s="291"/>
      <c r="AH43" s="196">
        <f t="shared" si="192"/>
        <v>0</v>
      </c>
      <c r="AI43" s="197"/>
      <c r="AJ43" s="291"/>
      <c r="AK43" s="196">
        <f t="shared" si="192"/>
        <v>0</v>
      </c>
      <c r="AL43" s="197"/>
      <c r="AM43" s="291"/>
      <c r="AN43" s="196">
        <f t="shared" si="192"/>
        <v>0</v>
      </c>
      <c r="AO43" s="197"/>
      <c r="AP43" s="291"/>
      <c r="AQ43" s="196">
        <f t="shared" si="192"/>
        <v>0</v>
      </c>
      <c r="AR43" s="197"/>
      <c r="AS43" s="291"/>
      <c r="AT43" s="196">
        <f t="shared" si="192"/>
        <v>458768508</v>
      </c>
      <c r="AU43" s="197"/>
      <c r="AV43" s="291"/>
      <c r="AW43" s="196">
        <f t="shared" si="192"/>
        <v>0</v>
      </c>
      <c r="AX43" s="197"/>
      <c r="AY43" s="291"/>
      <c r="AZ43" s="196">
        <f t="shared" si="192"/>
        <v>489169621</v>
      </c>
      <c r="BA43" s="197"/>
      <c r="BB43" s="291"/>
      <c r="BC43" s="196">
        <f t="shared" si="192"/>
        <v>456466831</v>
      </c>
      <c r="BD43" s="197"/>
    </row>
    <row r="44" spans="1:57" ht="60.6" customHeight="1" x14ac:dyDescent="0.2">
      <c r="A44" s="11"/>
      <c r="B44" s="167">
        <v>25</v>
      </c>
      <c r="C44" s="168" t="s">
        <v>131</v>
      </c>
      <c r="D44" s="169" t="s">
        <v>166</v>
      </c>
      <c r="E44" s="168" t="s">
        <v>167</v>
      </c>
      <c r="F44" s="199">
        <v>25000</v>
      </c>
      <c r="G44" s="287">
        <v>960.00004315309866</v>
      </c>
      <c r="H44" s="170">
        <f t="shared" ref="H44:H47" si="193">ROUND(G44*F44,0)</f>
        <v>24000001</v>
      </c>
      <c r="I44" s="290">
        <f>G44</f>
        <v>960.00004315309866</v>
      </c>
      <c r="J44" s="171">
        <f t="shared" ref="J44:J47" si="194">ROUND($F44*I44,0)</f>
        <v>24000001</v>
      </c>
      <c r="K44" s="172" t="str">
        <f t="shared" ref="K44:K47" si="195">+IF(I44&gt;0,IF(OR(I44&gt;$G44,ROUND(I44,0)&gt;$G44),"NO VÁLIDA","VÁLIDA"),"NO VÁLIDA")</f>
        <v>VÁLIDA</v>
      </c>
      <c r="L44" s="290">
        <v>948</v>
      </c>
      <c r="M44" s="171">
        <f t="shared" ref="M44:P47" si="196">ROUND($F44*L44,0)</f>
        <v>23700000</v>
      </c>
      <c r="N44" s="172" t="str">
        <f t="shared" ref="N44:N47" si="197">+IF(L44&gt;0,IF(OR(L44&gt;$G44,ROUND(L44,0)&gt;$G44),"NO VÁLIDA","VÁLIDA"),"NO VÁLIDA")</f>
        <v>VÁLIDA</v>
      </c>
      <c r="O44" s="290">
        <f>G44</f>
        <v>960.00004315309866</v>
      </c>
      <c r="P44" s="171">
        <f t="shared" si="196"/>
        <v>24000001</v>
      </c>
      <c r="Q44" s="172" t="str">
        <f t="shared" ref="Q44:Q47" si="198">+IF(O44&gt;0,IF(OR(O44&gt;$G44,ROUND(O44,0)&gt;$G44),"NO VÁLIDA","VÁLIDA"),"NO VÁLIDA")</f>
        <v>VÁLIDA</v>
      </c>
      <c r="R44" s="290">
        <f>G44</f>
        <v>960.00004315309866</v>
      </c>
      <c r="S44" s="171">
        <f t="shared" ref="S44:S47" si="199">ROUND($F44*R44,0)</f>
        <v>24000001</v>
      </c>
      <c r="T44" s="172" t="str">
        <f t="shared" ref="T44:T47" si="200">+IF(R44&gt;0,IF(OR(R44&gt;$G44,ROUND(R44,0)&gt;$G44),"NO VÁLIDA","VÁLIDA"),"NO VÁLIDA")</f>
        <v>VÁLIDA</v>
      </c>
      <c r="U44" s="290"/>
      <c r="V44" s="171">
        <f t="shared" ref="V44:V47" si="201">ROUND($F44*U44,0)</f>
        <v>0</v>
      </c>
      <c r="W44" s="172" t="str">
        <f t="shared" ref="W44:W47" si="202">+IF(U44&gt;0,IF(OR(U44&gt;$G44,ROUND(U44,0)&gt;$G44),"NO VÁLIDA","VÁLIDA"),"NO VÁLIDA")</f>
        <v>NO VÁLIDA</v>
      </c>
      <c r="X44" s="290"/>
      <c r="Y44" s="171">
        <f t="shared" ref="Y44:Y47" si="203">ROUND($F44*X44,0)</f>
        <v>0</v>
      </c>
      <c r="Z44" s="172" t="str">
        <f t="shared" ref="Z44:Z47" si="204">+IF(X44&gt;0,IF(OR(X44&gt;$G44,ROUND(X44,0)&gt;$G44),"NO VÁLIDA","VÁLIDA"),"NO VÁLIDA")</f>
        <v>NO VÁLIDA</v>
      </c>
      <c r="AA44" s="290">
        <f>G44</f>
        <v>960.00004315309866</v>
      </c>
      <c r="AB44" s="171">
        <f t="shared" ref="AB44:AB47" si="205">ROUND($F44*AA44,0)</f>
        <v>24000001</v>
      </c>
      <c r="AC44" s="172" t="str">
        <f t="shared" ref="AC44:AC47" si="206">+IF(AA44&gt;0,IF(OR(AA44&gt;$G44,ROUND(AA44,0)&gt;$G44),"NO VÁLIDA","VÁLIDA"),"NO VÁLIDA")</f>
        <v>VÁLIDA</v>
      </c>
      <c r="AD44" s="290">
        <f>G44</f>
        <v>960.00004315309866</v>
      </c>
      <c r="AE44" s="171">
        <f t="shared" ref="AE44:AE47" si="207">ROUND($F44*AD44,0)</f>
        <v>24000001</v>
      </c>
      <c r="AF44" s="172" t="str">
        <f t="shared" ref="AF44:AF47" si="208">+IF(AD44&gt;0,IF(OR(AD44&gt;$G44,ROUND(AD44,0)&gt;$G44),"NO VÁLIDA","VÁLIDA"),"NO VÁLIDA")</f>
        <v>VÁLIDA</v>
      </c>
      <c r="AG44" s="290"/>
      <c r="AH44" s="171">
        <f t="shared" ref="AH44:AH47" si="209">ROUND($F44*AG44,0)</f>
        <v>0</v>
      </c>
      <c r="AI44" s="172" t="str">
        <f t="shared" ref="AI44:AI47" si="210">+IF(AG44&gt;0,IF(OR(AG44&gt;$G44,ROUND(AG44,0)&gt;$G44),"NO VÁLIDA","VÁLIDA"),"NO VÁLIDA")</f>
        <v>NO VÁLIDA</v>
      </c>
      <c r="AJ44" s="290"/>
      <c r="AK44" s="171">
        <f t="shared" ref="AK44:AK47" si="211">ROUND($F44*AJ44,0)</f>
        <v>0</v>
      </c>
      <c r="AL44" s="172" t="str">
        <f t="shared" ref="AL44:AL47" si="212">+IF(AJ44&gt;0,IF(OR(AJ44&gt;$G44,ROUND(AJ44,0)&gt;$G44),"NO VÁLIDA","VÁLIDA"),"NO VÁLIDA")</f>
        <v>NO VÁLIDA</v>
      </c>
      <c r="AM44" s="290"/>
      <c r="AN44" s="171">
        <f t="shared" ref="AN44:AN47" si="213">ROUND($F44*AM44,0)</f>
        <v>0</v>
      </c>
      <c r="AO44" s="172" t="str">
        <f t="shared" ref="AO44:AO47" si="214">+IF(AM44&gt;0,IF(OR(AM44&gt;$G44,ROUND(AM44,0)&gt;$G44),"NO VÁLIDA","VÁLIDA"),"NO VÁLIDA")</f>
        <v>NO VÁLIDA</v>
      </c>
      <c r="AP44" s="290"/>
      <c r="AQ44" s="171">
        <f t="shared" ref="AQ44:AQ47" si="215">ROUND($F44*AP44,0)</f>
        <v>0</v>
      </c>
      <c r="AR44" s="172" t="str">
        <f t="shared" ref="AR44:AR47" si="216">+IF(AP44&gt;0,IF(OR(AP44&gt;$G44,ROUND(AP44,0)&gt;$G44),"NO VÁLIDA","VÁLIDA"),"NO VÁLIDA")</f>
        <v>NO VÁLIDA</v>
      </c>
      <c r="AS44" s="290">
        <v>950</v>
      </c>
      <c r="AT44" s="171">
        <f t="shared" ref="AT44:AT47" si="217">ROUND($F44*AS44,0)</f>
        <v>23750000</v>
      </c>
      <c r="AU44" s="172" t="str">
        <f t="shared" ref="AU44:AU47" si="218">+IF(AS44&gt;0,IF(OR(AS44&gt;$G44,ROUND(AS44,0)&gt;$G44),"NO VÁLIDA","VÁLIDA"),"NO VÁLIDA")</f>
        <v>VÁLIDA</v>
      </c>
      <c r="AV44" s="290"/>
      <c r="AW44" s="171">
        <f t="shared" ref="AW44:AW47" si="219">ROUND($F44*AV44,0)</f>
        <v>0</v>
      </c>
      <c r="AX44" s="172" t="str">
        <f t="shared" ref="AX44:AX47" si="220">+IF(AV44&gt;0,IF(OR(AV44&gt;$G44,ROUND(AV44,0)&gt;$G44),"NO VÁLIDA","VÁLIDA"),"NO VÁLIDA")</f>
        <v>NO VÁLIDA</v>
      </c>
      <c r="AY44" s="290">
        <f>G44</f>
        <v>960.00004315309866</v>
      </c>
      <c r="AZ44" s="171">
        <f t="shared" ref="AZ44:AZ47" si="221">ROUND($F44*AY44,0)</f>
        <v>24000001</v>
      </c>
      <c r="BA44" s="172" t="str">
        <f t="shared" ref="BA44:BA47" si="222">+IF(AY44&gt;0,IF(OR(AY44&gt;$G44,ROUND(AY44,0)&gt;$G44),"NO VÁLIDA","VÁLIDA"),"NO VÁLIDA")</f>
        <v>VÁLIDA</v>
      </c>
      <c r="BB44" s="290">
        <f>G44</f>
        <v>960.00004315309866</v>
      </c>
      <c r="BC44" s="171">
        <f t="shared" ref="BC44:BC47" si="223">ROUND($F44*BB44,0)</f>
        <v>24000001</v>
      </c>
      <c r="BD44" s="172" t="str">
        <f t="shared" ref="BD44:BD47" si="224">+IF(BB44&gt;0,IF(OR(BB44&gt;$G44,ROUND(BB44,0)&gt;$G44),"NO VÁLIDA","VÁLIDA"),"NO VÁLIDA")</f>
        <v>VÁLIDA</v>
      </c>
    </row>
    <row r="45" spans="1:57" ht="60.6" customHeight="1" x14ac:dyDescent="0.2">
      <c r="A45" s="11"/>
      <c r="B45" s="167">
        <v>26</v>
      </c>
      <c r="C45" s="168" t="s">
        <v>96</v>
      </c>
      <c r="D45" s="169" t="s">
        <v>168</v>
      </c>
      <c r="E45" s="168" t="s">
        <v>108</v>
      </c>
      <c r="F45" s="199">
        <v>35000</v>
      </c>
      <c r="G45" s="287">
        <v>1000</v>
      </c>
      <c r="H45" s="170">
        <f t="shared" ref="H45" si="225">ROUND(G45*F45,0)</f>
        <v>35000000</v>
      </c>
      <c r="I45" s="290">
        <v>1000</v>
      </c>
      <c r="J45" s="171">
        <f t="shared" si="194"/>
        <v>35000000</v>
      </c>
      <c r="K45" s="172" t="str">
        <f t="shared" ref="K45" si="226">+IF(I45&gt;0,IF(OR(I45&gt;$G45,ROUND(I45,0)&gt;$G45),"NO VÁLIDA","VÁLIDA"),"NO VÁLIDA")</f>
        <v>VÁLIDA</v>
      </c>
      <c r="L45" s="290">
        <v>988</v>
      </c>
      <c r="M45" s="171">
        <f t="shared" si="196"/>
        <v>34580000</v>
      </c>
      <c r="N45" s="172" t="str">
        <f t="shared" si="197"/>
        <v>VÁLIDA</v>
      </c>
      <c r="O45" s="290">
        <v>1000</v>
      </c>
      <c r="P45" s="171">
        <f t="shared" si="196"/>
        <v>35000000</v>
      </c>
      <c r="Q45" s="172" t="str">
        <f t="shared" si="198"/>
        <v>VÁLIDA</v>
      </c>
      <c r="R45" s="290">
        <v>1000</v>
      </c>
      <c r="S45" s="171">
        <f t="shared" si="199"/>
        <v>35000000</v>
      </c>
      <c r="T45" s="172" t="str">
        <f t="shared" si="200"/>
        <v>VÁLIDA</v>
      </c>
      <c r="U45" s="290"/>
      <c r="V45" s="171">
        <f t="shared" si="201"/>
        <v>0</v>
      </c>
      <c r="W45" s="172" t="str">
        <f t="shared" si="202"/>
        <v>NO VÁLIDA</v>
      </c>
      <c r="X45" s="290"/>
      <c r="Y45" s="171">
        <f t="shared" si="203"/>
        <v>0</v>
      </c>
      <c r="Z45" s="172" t="str">
        <f t="shared" si="204"/>
        <v>NO VÁLIDA</v>
      </c>
      <c r="AA45" s="290">
        <v>1000</v>
      </c>
      <c r="AB45" s="171">
        <f t="shared" si="205"/>
        <v>35000000</v>
      </c>
      <c r="AC45" s="172" t="str">
        <f t="shared" si="206"/>
        <v>VÁLIDA</v>
      </c>
      <c r="AD45" s="290">
        <v>1000</v>
      </c>
      <c r="AE45" s="171">
        <f t="shared" si="207"/>
        <v>35000000</v>
      </c>
      <c r="AF45" s="172" t="str">
        <f t="shared" si="208"/>
        <v>VÁLIDA</v>
      </c>
      <c r="AG45" s="290"/>
      <c r="AH45" s="171">
        <f t="shared" si="209"/>
        <v>0</v>
      </c>
      <c r="AI45" s="172" t="str">
        <f t="shared" si="210"/>
        <v>NO VÁLIDA</v>
      </c>
      <c r="AJ45" s="290"/>
      <c r="AK45" s="171">
        <f t="shared" si="211"/>
        <v>0</v>
      </c>
      <c r="AL45" s="172" t="str">
        <f t="shared" si="212"/>
        <v>NO VÁLIDA</v>
      </c>
      <c r="AM45" s="290"/>
      <c r="AN45" s="171">
        <f t="shared" si="213"/>
        <v>0</v>
      </c>
      <c r="AO45" s="172" t="str">
        <f t="shared" si="214"/>
        <v>NO VÁLIDA</v>
      </c>
      <c r="AP45" s="290"/>
      <c r="AQ45" s="171">
        <f t="shared" si="215"/>
        <v>0</v>
      </c>
      <c r="AR45" s="172" t="str">
        <f t="shared" si="216"/>
        <v>NO VÁLIDA</v>
      </c>
      <c r="AS45" s="290">
        <v>950</v>
      </c>
      <c r="AT45" s="171">
        <f t="shared" si="217"/>
        <v>33250000</v>
      </c>
      <c r="AU45" s="172" t="str">
        <f t="shared" si="218"/>
        <v>VÁLIDA</v>
      </c>
      <c r="AV45" s="290"/>
      <c r="AW45" s="171">
        <f t="shared" si="219"/>
        <v>0</v>
      </c>
      <c r="AX45" s="172" t="str">
        <f t="shared" si="220"/>
        <v>NO VÁLIDA</v>
      </c>
      <c r="AY45" s="290">
        <v>1000</v>
      </c>
      <c r="AZ45" s="171">
        <f t="shared" si="221"/>
        <v>35000000</v>
      </c>
      <c r="BA45" s="172" t="str">
        <f t="shared" si="222"/>
        <v>VÁLIDA</v>
      </c>
      <c r="BB45" s="290">
        <v>1000</v>
      </c>
      <c r="BC45" s="171">
        <f t="shared" si="223"/>
        <v>35000000</v>
      </c>
      <c r="BD45" s="172" t="str">
        <f t="shared" si="224"/>
        <v>VÁLIDA</v>
      </c>
    </row>
    <row r="46" spans="1:57" ht="30.6" customHeight="1" x14ac:dyDescent="0.2">
      <c r="A46" s="11"/>
      <c r="B46" s="167">
        <v>27</v>
      </c>
      <c r="C46" s="168" t="s">
        <v>132</v>
      </c>
      <c r="D46" s="169" t="s">
        <v>169</v>
      </c>
      <c r="E46" s="168" t="s">
        <v>108</v>
      </c>
      <c r="F46" s="199">
        <v>57139.644498708592</v>
      </c>
      <c r="G46" s="287">
        <v>900</v>
      </c>
      <c r="H46" s="170">
        <f t="shared" si="193"/>
        <v>51425680</v>
      </c>
      <c r="I46" s="290">
        <v>800</v>
      </c>
      <c r="J46" s="171">
        <f t="shared" si="194"/>
        <v>45711716</v>
      </c>
      <c r="K46" s="172" t="str">
        <f t="shared" si="195"/>
        <v>VÁLIDA</v>
      </c>
      <c r="L46" s="290">
        <v>889</v>
      </c>
      <c r="M46" s="171">
        <f t="shared" si="196"/>
        <v>50797144</v>
      </c>
      <c r="N46" s="172" t="str">
        <f t="shared" si="197"/>
        <v>VÁLIDA</v>
      </c>
      <c r="O46" s="290">
        <v>900</v>
      </c>
      <c r="P46" s="171">
        <f t="shared" si="196"/>
        <v>51425680</v>
      </c>
      <c r="Q46" s="172" t="str">
        <f t="shared" si="198"/>
        <v>VÁLIDA</v>
      </c>
      <c r="R46" s="290">
        <v>900</v>
      </c>
      <c r="S46" s="171">
        <f t="shared" si="199"/>
        <v>51425680</v>
      </c>
      <c r="T46" s="172" t="str">
        <f t="shared" si="200"/>
        <v>VÁLIDA</v>
      </c>
      <c r="U46" s="290"/>
      <c r="V46" s="171">
        <f t="shared" si="201"/>
        <v>0</v>
      </c>
      <c r="W46" s="172" t="str">
        <f t="shared" si="202"/>
        <v>NO VÁLIDA</v>
      </c>
      <c r="X46" s="290"/>
      <c r="Y46" s="171">
        <f t="shared" si="203"/>
        <v>0</v>
      </c>
      <c r="Z46" s="172" t="str">
        <f t="shared" si="204"/>
        <v>NO VÁLIDA</v>
      </c>
      <c r="AA46" s="290">
        <v>900</v>
      </c>
      <c r="AB46" s="171">
        <f t="shared" si="205"/>
        <v>51425680</v>
      </c>
      <c r="AC46" s="172" t="str">
        <f t="shared" si="206"/>
        <v>VÁLIDA</v>
      </c>
      <c r="AD46" s="290">
        <v>900</v>
      </c>
      <c r="AE46" s="171">
        <f t="shared" si="207"/>
        <v>51425680</v>
      </c>
      <c r="AF46" s="172" t="str">
        <f t="shared" si="208"/>
        <v>VÁLIDA</v>
      </c>
      <c r="AG46" s="290"/>
      <c r="AH46" s="171">
        <f t="shared" si="209"/>
        <v>0</v>
      </c>
      <c r="AI46" s="172" t="str">
        <f t="shared" si="210"/>
        <v>NO VÁLIDA</v>
      </c>
      <c r="AJ46" s="290"/>
      <c r="AK46" s="171">
        <f t="shared" si="211"/>
        <v>0</v>
      </c>
      <c r="AL46" s="172" t="str">
        <f t="shared" si="212"/>
        <v>NO VÁLIDA</v>
      </c>
      <c r="AM46" s="290"/>
      <c r="AN46" s="171">
        <f t="shared" si="213"/>
        <v>0</v>
      </c>
      <c r="AO46" s="172" t="str">
        <f t="shared" si="214"/>
        <v>NO VÁLIDA</v>
      </c>
      <c r="AP46" s="290"/>
      <c r="AQ46" s="171">
        <f t="shared" si="215"/>
        <v>0</v>
      </c>
      <c r="AR46" s="172" t="str">
        <f t="shared" si="216"/>
        <v>NO VÁLIDA</v>
      </c>
      <c r="AS46" s="290">
        <v>820</v>
      </c>
      <c r="AT46" s="171">
        <f t="shared" si="217"/>
        <v>46854508</v>
      </c>
      <c r="AU46" s="172" t="str">
        <f t="shared" si="218"/>
        <v>VÁLIDA</v>
      </c>
      <c r="AV46" s="290"/>
      <c r="AW46" s="171">
        <f t="shared" si="219"/>
        <v>0</v>
      </c>
      <c r="AX46" s="172" t="str">
        <f t="shared" si="220"/>
        <v>NO VÁLIDA</v>
      </c>
      <c r="AY46" s="290">
        <v>900</v>
      </c>
      <c r="AZ46" s="171">
        <f t="shared" si="221"/>
        <v>51425680</v>
      </c>
      <c r="BA46" s="172" t="str">
        <f t="shared" si="222"/>
        <v>VÁLIDA</v>
      </c>
      <c r="BB46" s="290">
        <v>900</v>
      </c>
      <c r="BC46" s="171">
        <f t="shared" si="223"/>
        <v>51425680</v>
      </c>
      <c r="BD46" s="172" t="str">
        <f t="shared" si="224"/>
        <v>VÁLIDA</v>
      </c>
    </row>
    <row r="47" spans="1:57" ht="30.6" customHeight="1" thickBot="1" x14ac:dyDescent="0.25">
      <c r="A47" s="11"/>
      <c r="B47" s="254">
        <v>28</v>
      </c>
      <c r="C47" s="255" t="s">
        <v>133</v>
      </c>
      <c r="D47" s="262" t="s">
        <v>170</v>
      </c>
      <c r="E47" s="255" t="s">
        <v>171</v>
      </c>
      <c r="F47" s="263">
        <v>253510</v>
      </c>
      <c r="G47" s="289">
        <v>1494</v>
      </c>
      <c r="H47" s="256">
        <f t="shared" si="193"/>
        <v>378743940</v>
      </c>
      <c r="I47" s="292">
        <v>1450</v>
      </c>
      <c r="J47" s="249">
        <f t="shared" si="194"/>
        <v>367589500</v>
      </c>
      <c r="K47" s="250" t="str">
        <f t="shared" si="195"/>
        <v>VÁLIDA</v>
      </c>
      <c r="L47" s="292">
        <v>1494</v>
      </c>
      <c r="M47" s="249">
        <f t="shared" si="196"/>
        <v>378743940</v>
      </c>
      <c r="N47" s="250" t="str">
        <f t="shared" si="197"/>
        <v>VÁLIDA</v>
      </c>
      <c r="O47" s="292">
        <v>1494</v>
      </c>
      <c r="P47" s="249">
        <f t="shared" si="196"/>
        <v>378743940</v>
      </c>
      <c r="Q47" s="250" t="str">
        <f t="shared" si="198"/>
        <v>VÁLIDA</v>
      </c>
      <c r="R47" s="292">
        <v>1494</v>
      </c>
      <c r="S47" s="249">
        <f t="shared" si="199"/>
        <v>378743940</v>
      </c>
      <c r="T47" s="250" t="str">
        <f t="shared" si="200"/>
        <v>VÁLIDA</v>
      </c>
      <c r="U47" s="292"/>
      <c r="V47" s="249">
        <f t="shared" si="201"/>
        <v>0</v>
      </c>
      <c r="W47" s="250" t="str">
        <f t="shared" si="202"/>
        <v>NO VÁLIDA</v>
      </c>
      <c r="X47" s="292"/>
      <c r="Y47" s="249">
        <f t="shared" si="203"/>
        <v>0</v>
      </c>
      <c r="Z47" s="250" t="str">
        <f t="shared" si="204"/>
        <v>NO VÁLIDA</v>
      </c>
      <c r="AA47" s="292">
        <v>1494</v>
      </c>
      <c r="AB47" s="249">
        <f t="shared" si="205"/>
        <v>378743940</v>
      </c>
      <c r="AC47" s="250" t="str">
        <f t="shared" si="206"/>
        <v>VÁLIDA</v>
      </c>
      <c r="AD47" s="292">
        <v>1494</v>
      </c>
      <c r="AE47" s="249">
        <f t="shared" si="207"/>
        <v>378743940</v>
      </c>
      <c r="AF47" s="250" t="str">
        <f t="shared" si="208"/>
        <v>VÁLIDA</v>
      </c>
      <c r="AG47" s="292"/>
      <c r="AH47" s="249">
        <f t="shared" si="209"/>
        <v>0</v>
      </c>
      <c r="AI47" s="250" t="str">
        <f t="shared" si="210"/>
        <v>NO VÁLIDA</v>
      </c>
      <c r="AJ47" s="292"/>
      <c r="AK47" s="249">
        <f t="shared" si="211"/>
        <v>0</v>
      </c>
      <c r="AL47" s="250" t="str">
        <f t="shared" si="212"/>
        <v>NO VÁLIDA</v>
      </c>
      <c r="AM47" s="292"/>
      <c r="AN47" s="249">
        <f t="shared" si="213"/>
        <v>0</v>
      </c>
      <c r="AO47" s="250" t="str">
        <f t="shared" si="214"/>
        <v>NO VÁLIDA</v>
      </c>
      <c r="AP47" s="292"/>
      <c r="AQ47" s="249">
        <f t="shared" si="215"/>
        <v>0</v>
      </c>
      <c r="AR47" s="250" t="str">
        <f t="shared" si="216"/>
        <v>NO VÁLIDA</v>
      </c>
      <c r="AS47" s="292">
        <v>1400</v>
      </c>
      <c r="AT47" s="249">
        <f t="shared" si="217"/>
        <v>354914000</v>
      </c>
      <c r="AU47" s="250" t="str">
        <f t="shared" si="218"/>
        <v>VÁLIDA</v>
      </c>
      <c r="AV47" s="292"/>
      <c r="AW47" s="249">
        <f t="shared" si="219"/>
        <v>0</v>
      </c>
      <c r="AX47" s="250" t="str">
        <f t="shared" si="220"/>
        <v>NO VÁLIDA</v>
      </c>
      <c r="AY47" s="292">
        <v>1494</v>
      </c>
      <c r="AZ47" s="249">
        <f t="shared" si="221"/>
        <v>378743940</v>
      </c>
      <c r="BA47" s="250" t="str">
        <f t="shared" si="222"/>
        <v>VÁLIDA</v>
      </c>
      <c r="BB47" s="292">
        <v>1365</v>
      </c>
      <c r="BC47" s="249">
        <f t="shared" si="223"/>
        <v>346041150</v>
      </c>
      <c r="BD47" s="250" t="str">
        <f t="shared" si="224"/>
        <v>VÁLIDA</v>
      </c>
    </row>
    <row r="48" spans="1:57" s="40" customFormat="1" ht="32.25" customHeight="1" x14ac:dyDescent="0.2">
      <c r="A48" s="39"/>
      <c r="B48" s="264"/>
      <c r="C48" s="265"/>
      <c r="D48" s="266"/>
      <c r="E48" s="265"/>
      <c r="F48" s="267"/>
      <c r="G48" s="267" t="s">
        <v>172</v>
      </c>
      <c r="H48" s="268">
        <f>ROUND(SUM(H14,H16,H20,H24,H40,H43),0)</f>
        <v>6837277186</v>
      </c>
      <c r="I48" s="173"/>
      <c r="J48" s="283">
        <f>ROUND(SUM(J14,J16,J20,J24,J40,J43),0)</f>
        <v>6704772954</v>
      </c>
      <c r="K48" s="176"/>
      <c r="L48" s="173">
        <f>6706978662.56*0.22</f>
        <v>1475535305.7632</v>
      </c>
      <c r="M48" s="283">
        <f t="shared" ref="M48" si="227">ROUND(SUM(M14,M16,M20,M24,M40,M43),0)</f>
        <v>6706978662</v>
      </c>
      <c r="N48" s="176"/>
      <c r="O48" s="173"/>
      <c r="P48" s="283">
        <f t="shared" ref="P48" si="228">ROUND(SUM(P14,P16,P20,P24,P40,P43),0)</f>
        <v>6732186496</v>
      </c>
      <c r="Q48" s="176"/>
      <c r="R48" s="173"/>
      <c r="S48" s="283">
        <f t="shared" ref="S48:BC48" si="229">ROUND(SUM(S14,S16,S20,S24,S40,S43),0)</f>
        <v>6749184308</v>
      </c>
      <c r="T48" s="176"/>
      <c r="U48" s="173"/>
      <c r="V48" s="283">
        <f t="shared" si="229"/>
        <v>0</v>
      </c>
      <c r="W48" s="176"/>
      <c r="X48" s="173"/>
      <c r="Y48" s="283">
        <f t="shared" si="229"/>
        <v>0</v>
      </c>
      <c r="Z48" s="176"/>
      <c r="AA48" s="173"/>
      <c r="AB48" s="283">
        <f t="shared" si="229"/>
        <v>6801465716</v>
      </c>
      <c r="AC48" s="176"/>
      <c r="AD48" s="173"/>
      <c r="AE48" s="283">
        <f t="shared" si="229"/>
        <v>6691288010</v>
      </c>
      <c r="AF48" s="176"/>
      <c r="AG48" s="173"/>
      <c r="AH48" s="283">
        <f t="shared" si="229"/>
        <v>0</v>
      </c>
      <c r="AI48" s="176"/>
      <c r="AJ48" s="173"/>
      <c r="AK48" s="283">
        <f t="shared" si="229"/>
        <v>0</v>
      </c>
      <c r="AL48" s="176"/>
      <c r="AM48" s="173"/>
      <c r="AN48" s="283">
        <f t="shared" si="229"/>
        <v>0</v>
      </c>
      <c r="AO48" s="176"/>
      <c r="AP48" s="173"/>
      <c r="AQ48" s="283">
        <f t="shared" si="229"/>
        <v>0</v>
      </c>
      <c r="AR48" s="176"/>
      <c r="AS48" s="173"/>
      <c r="AT48" s="283">
        <f t="shared" si="229"/>
        <v>6754510908</v>
      </c>
      <c r="AU48" s="176"/>
      <c r="AV48" s="173"/>
      <c r="AW48" s="283">
        <f t="shared" si="229"/>
        <v>0</v>
      </c>
      <c r="AX48" s="176"/>
      <c r="AY48" s="173"/>
      <c r="AZ48" s="283">
        <f t="shared" si="229"/>
        <v>6821849498</v>
      </c>
      <c r="BA48" s="176"/>
      <c r="BB48" s="173"/>
      <c r="BC48" s="283">
        <f t="shared" si="229"/>
        <v>6743965733</v>
      </c>
      <c r="BD48" s="176"/>
      <c r="BE48"/>
    </row>
    <row r="49" spans="1:57" s="40" customFormat="1" ht="32.25" customHeight="1" x14ac:dyDescent="0.2">
      <c r="A49" s="39"/>
      <c r="B49" s="376" t="s">
        <v>93</v>
      </c>
      <c r="C49" s="377"/>
      <c r="D49" s="377"/>
      <c r="E49" s="377"/>
      <c r="F49" s="378"/>
      <c r="G49" s="274">
        <v>0.22</v>
      </c>
      <c r="H49" s="248">
        <f>ROUND($H$48*G49,0)</f>
        <v>1504200981</v>
      </c>
      <c r="I49" s="293">
        <v>0.22</v>
      </c>
      <c r="J49" s="248">
        <f>ROUND($J48*I49,0)</f>
        <v>1475050050</v>
      </c>
      <c r="K49" s="174"/>
      <c r="L49" s="293">
        <v>0.22</v>
      </c>
      <c r="M49" s="248">
        <f>ROUND(M48*L49,0)</f>
        <v>1475535306</v>
      </c>
      <c r="N49" s="174"/>
      <c r="O49" s="293">
        <v>0.22</v>
      </c>
      <c r="P49" s="248">
        <f>ROUND(P48*O49,0)</f>
        <v>1481081029</v>
      </c>
      <c r="Q49" s="174"/>
      <c r="R49" s="293">
        <v>0.22</v>
      </c>
      <c r="S49" s="248">
        <f t="shared" ref="S49" si="230">ROUND(S48*R49,0)</f>
        <v>1484820548</v>
      </c>
      <c r="T49" s="174"/>
      <c r="U49" s="293"/>
      <c r="V49" s="248">
        <f t="shared" ref="V49" si="231">ROUND(V48*U49,0)</f>
        <v>0</v>
      </c>
      <c r="W49" s="174"/>
      <c r="X49" s="293"/>
      <c r="Y49" s="248">
        <f t="shared" ref="Y49" si="232">ROUND(Y48*X49,0)</f>
        <v>0</v>
      </c>
      <c r="Z49" s="174"/>
      <c r="AA49" s="293">
        <v>0.25900000000000001</v>
      </c>
      <c r="AB49" s="248">
        <f t="shared" ref="AB49" si="233">ROUND(AB48*AA49,0)</f>
        <v>1761579620</v>
      </c>
      <c r="AC49" s="174"/>
      <c r="AD49" s="293">
        <v>0.22</v>
      </c>
      <c r="AE49" s="248">
        <f t="shared" ref="AE49" si="234">ROUND(AE48*AD49,0)</f>
        <v>1472083362</v>
      </c>
      <c r="AF49" s="174"/>
      <c r="AG49" s="293"/>
      <c r="AH49" s="248">
        <f t="shared" ref="AH49" si="235">ROUND(AH48*AG49,0)</f>
        <v>0</v>
      </c>
      <c r="AI49" s="174"/>
      <c r="AJ49" s="293"/>
      <c r="AK49" s="248">
        <f t="shared" ref="AK49" si="236">ROUND(AK48*AJ49,0)</f>
        <v>0</v>
      </c>
      <c r="AL49" s="174"/>
      <c r="AM49" s="293"/>
      <c r="AN49" s="248">
        <f t="shared" ref="AN49" si="237">ROUND(AN48*AM49,0)</f>
        <v>0</v>
      </c>
      <c r="AO49" s="174"/>
      <c r="AP49" s="293"/>
      <c r="AQ49" s="248">
        <f t="shared" ref="AQ49" si="238">ROUND(AQ48*AP49,0)</f>
        <v>0</v>
      </c>
      <c r="AR49" s="174"/>
      <c r="AS49" s="293">
        <v>0.22</v>
      </c>
      <c r="AT49" s="248">
        <f t="shared" ref="AT49" si="239">ROUND(AT48*AS49,0)</f>
        <v>1485992400</v>
      </c>
      <c r="AU49" s="174"/>
      <c r="AV49" s="293"/>
      <c r="AW49" s="248">
        <f t="shared" ref="AW49" si="240">ROUND(AW48*AV49,0)</f>
        <v>0</v>
      </c>
      <c r="AX49" s="174"/>
      <c r="AY49" s="293">
        <v>0.22</v>
      </c>
      <c r="AZ49" s="248">
        <f t="shared" ref="AZ49" si="241">ROUND(AZ48*AY49,0)</f>
        <v>1500806890</v>
      </c>
      <c r="BA49" s="174"/>
      <c r="BB49" s="293">
        <v>0.22</v>
      </c>
      <c r="BC49" s="248">
        <f t="shared" ref="BC49" si="242">ROUND(BC48*BB49,0)</f>
        <v>1483672461</v>
      </c>
      <c r="BD49" s="174"/>
      <c r="BE49"/>
    </row>
    <row r="50" spans="1:57" s="40" customFormat="1" ht="32.25" customHeight="1" x14ac:dyDescent="0.2">
      <c r="A50" s="39"/>
      <c r="B50" s="376" t="s">
        <v>94</v>
      </c>
      <c r="C50" s="377"/>
      <c r="D50" s="377"/>
      <c r="E50" s="377"/>
      <c r="F50" s="378"/>
      <c r="G50" s="274">
        <v>0.03</v>
      </c>
      <c r="H50" s="248">
        <f t="shared" ref="H50:H51" si="243">ROUND($H$48*G50,0)</f>
        <v>205118316</v>
      </c>
      <c r="I50" s="293">
        <v>0.03</v>
      </c>
      <c r="J50" s="248">
        <f>ROUND($J48*I50,0)</f>
        <v>201143189</v>
      </c>
      <c r="K50" s="174"/>
      <c r="L50" s="293">
        <v>0.03</v>
      </c>
      <c r="M50" s="248">
        <f>ROUND(M48*L50,0)</f>
        <v>201209360</v>
      </c>
      <c r="N50" s="174"/>
      <c r="O50" s="293">
        <v>0.03</v>
      </c>
      <c r="P50" s="248">
        <f>ROUND(P48*O50,0)</f>
        <v>201965595</v>
      </c>
      <c r="Q50" s="174"/>
      <c r="R50" s="293">
        <v>0.03</v>
      </c>
      <c r="S50" s="248">
        <f t="shared" ref="S50" si="244">ROUND(S48*R50,0)</f>
        <v>202475529</v>
      </c>
      <c r="T50" s="174"/>
      <c r="U50" s="293"/>
      <c r="V50" s="248">
        <f t="shared" ref="V50" si="245">ROUND(V48*U50,0)</f>
        <v>0</v>
      </c>
      <c r="W50" s="174"/>
      <c r="X50" s="293"/>
      <c r="Y50" s="248">
        <f t="shared" ref="Y50" si="246">ROUND(Y48*X50,0)</f>
        <v>0</v>
      </c>
      <c r="Z50" s="174"/>
      <c r="AA50" s="293">
        <v>1E-3</v>
      </c>
      <c r="AB50" s="248">
        <f t="shared" ref="AB50" si="247">ROUND(AB48*AA50,0)</f>
        <v>6801466</v>
      </c>
      <c r="AC50" s="174"/>
      <c r="AD50" s="293">
        <v>0.03</v>
      </c>
      <c r="AE50" s="248">
        <f t="shared" ref="AE50" si="248">ROUND(AE48*AD50,0)</f>
        <v>200738640</v>
      </c>
      <c r="AF50" s="174"/>
      <c r="AG50" s="293"/>
      <c r="AH50" s="248">
        <f t="shared" ref="AH50" si="249">ROUND(AH48*AG50,0)</f>
        <v>0</v>
      </c>
      <c r="AI50" s="174"/>
      <c r="AJ50" s="293"/>
      <c r="AK50" s="248">
        <f t="shared" ref="AK50" si="250">ROUND(AK48*AJ50,0)</f>
        <v>0</v>
      </c>
      <c r="AL50" s="174"/>
      <c r="AM50" s="293"/>
      <c r="AN50" s="248">
        <f t="shared" ref="AN50" si="251">ROUND(AN48*AM50,0)</f>
        <v>0</v>
      </c>
      <c r="AO50" s="174"/>
      <c r="AP50" s="293"/>
      <c r="AQ50" s="248">
        <f t="shared" ref="AQ50" si="252">ROUND(AQ48*AP50,0)</f>
        <v>0</v>
      </c>
      <c r="AR50" s="174"/>
      <c r="AS50" s="293">
        <v>0.03</v>
      </c>
      <c r="AT50" s="248">
        <f t="shared" ref="AT50" si="253">ROUND(AT48*AS50,0)</f>
        <v>202635327</v>
      </c>
      <c r="AU50" s="174"/>
      <c r="AV50" s="293"/>
      <c r="AW50" s="248">
        <f t="shared" ref="AW50" si="254">ROUND(AW48*AV50,0)</f>
        <v>0</v>
      </c>
      <c r="AX50" s="174"/>
      <c r="AY50" s="293">
        <v>0.03</v>
      </c>
      <c r="AZ50" s="248">
        <f t="shared" ref="AZ50" si="255">ROUND(AZ48*AY50,0)</f>
        <v>204655485</v>
      </c>
      <c r="BA50" s="174"/>
      <c r="BB50" s="293">
        <v>0.03</v>
      </c>
      <c r="BC50" s="248">
        <f t="shared" ref="BC50" si="256">ROUND(BC48*BB50,0)</f>
        <v>202318972</v>
      </c>
      <c r="BD50" s="174"/>
      <c r="BE50"/>
    </row>
    <row r="51" spans="1:57" s="40" customFormat="1" ht="32.25" customHeight="1" x14ac:dyDescent="0.2">
      <c r="A51" s="39"/>
      <c r="B51" s="376" t="s">
        <v>95</v>
      </c>
      <c r="C51" s="377"/>
      <c r="D51" s="377"/>
      <c r="E51" s="377"/>
      <c r="F51" s="378"/>
      <c r="G51" s="274">
        <v>0.05</v>
      </c>
      <c r="H51" s="248">
        <f t="shared" si="243"/>
        <v>341863859</v>
      </c>
      <c r="I51" s="294">
        <v>0.05</v>
      </c>
      <c r="J51" s="248">
        <f>ROUND($J48*I51,0)</f>
        <v>335238648</v>
      </c>
      <c r="K51" s="175"/>
      <c r="L51" s="294">
        <v>0.05</v>
      </c>
      <c r="M51" s="248">
        <f>ROUND(M48*L51,0)</f>
        <v>335348933</v>
      </c>
      <c r="N51" s="175"/>
      <c r="O51" s="294">
        <v>0.05</v>
      </c>
      <c r="P51" s="248">
        <f>ROUND(P48*O51,0)</f>
        <v>336609325</v>
      </c>
      <c r="Q51" s="175"/>
      <c r="R51" s="294">
        <v>0.05</v>
      </c>
      <c r="S51" s="248">
        <f t="shared" ref="S51" si="257">ROUND(S48*R51,0)</f>
        <v>337459215</v>
      </c>
      <c r="T51" s="175"/>
      <c r="U51" s="294"/>
      <c r="V51" s="248">
        <f t="shared" ref="V51" si="258">ROUND(V48*U51,0)</f>
        <v>0</v>
      </c>
      <c r="W51" s="175"/>
      <c r="X51" s="294"/>
      <c r="Y51" s="248">
        <f t="shared" ref="Y51" si="259">ROUND(Y48*X51,0)</f>
        <v>0</v>
      </c>
      <c r="Z51" s="175"/>
      <c r="AA51" s="294">
        <v>0.04</v>
      </c>
      <c r="AB51" s="248">
        <f t="shared" ref="AB51" si="260">ROUND(AB48*AA51,0)</f>
        <v>272058629</v>
      </c>
      <c r="AC51" s="175"/>
      <c r="AD51" s="294">
        <v>0.05</v>
      </c>
      <c r="AE51" s="248">
        <f t="shared" ref="AE51" si="261">ROUND(AE48*AD51,0)</f>
        <v>334564401</v>
      </c>
      <c r="AF51" s="175"/>
      <c r="AG51" s="294"/>
      <c r="AH51" s="248">
        <f t="shared" ref="AH51" si="262">ROUND(AH48*AG51,0)</f>
        <v>0</v>
      </c>
      <c r="AI51" s="175"/>
      <c r="AJ51" s="294"/>
      <c r="AK51" s="248">
        <f t="shared" ref="AK51" si="263">ROUND(AK48*AJ51,0)</f>
        <v>0</v>
      </c>
      <c r="AL51" s="175"/>
      <c r="AM51" s="294"/>
      <c r="AN51" s="248">
        <f t="shared" ref="AN51" si="264">ROUND(AN48*AM51,0)</f>
        <v>0</v>
      </c>
      <c r="AO51" s="175"/>
      <c r="AP51" s="294"/>
      <c r="AQ51" s="248">
        <f t="shared" ref="AQ51" si="265">ROUND(AQ48*AP51,0)</f>
        <v>0</v>
      </c>
      <c r="AR51" s="175"/>
      <c r="AS51" s="294">
        <v>0.05</v>
      </c>
      <c r="AT51" s="248">
        <f t="shared" ref="AT51" si="266">ROUND(AT48*AS51,0)</f>
        <v>337725545</v>
      </c>
      <c r="AU51" s="175"/>
      <c r="AV51" s="294"/>
      <c r="AW51" s="248">
        <f t="shared" ref="AW51" si="267">ROUND(AW48*AV51,0)</f>
        <v>0</v>
      </c>
      <c r="AX51" s="175"/>
      <c r="AY51" s="294">
        <v>0.05</v>
      </c>
      <c r="AZ51" s="248">
        <f t="shared" ref="AZ51" si="268">ROUND(AZ48*AY51,0)</f>
        <v>341092475</v>
      </c>
      <c r="BA51" s="175"/>
      <c r="BB51" s="294">
        <v>0.05</v>
      </c>
      <c r="BC51" s="248">
        <f t="shared" ref="BC51" si="269">ROUND(BC48*BB51,0)</f>
        <v>337198287</v>
      </c>
      <c r="BD51" s="175"/>
      <c r="BE51"/>
    </row>
    <row r="52" spans="1:57" s="40" customFormat="1" ht="32.25" customHeight="1" x14ac:dyDescent="0.2">
      <c r="A52" s="39"/>
      <c r="B52" s="373" t="s">
        <v>173</v>
      </c>
      <c r="C52" s="374"/>
      <c r="D52" s="374"/>
      <c r="E52" s="374"/>
      <c r="F52" s="375"/>
      <c r="G52" s="275">
        <f>SUM(G49:G51)</f>
        <v>0.3</v>
      </c>
      <c r="H52" s="276">
        <f>SUM(H49:H51)</f>
        <v>2051183156</v>
      </c>
      <c r="I52" s="282">
        <f>SUM(I49:I51)</f>
        <v>0.3</v>
      </c>
      <c r="J52" s="276">
        <f t="shared" ref="J52" si="270">SUM(J49:J51)</f>
        <v>2011431887</v>
      </c>
      <c r="K52" s="172" t="str">
        <f>IF(OR(J52&lt;0.9*$H52,J52&gt;1.1*$H52),"NO VÁLIDA","VÁLIDA")</f>
        <v>VÁLIDA</v>
      </c>
      <c r="L52" s="282">
        <f t="shared" ref="L52:P52" si="271">SUM(L49:L51)</f>
        <v>0.3</v>
      </c>
      <c r="M52" s="276">
        <f t="shared" si="271"/>
        <v>2012093599</v>
      </c>
      <c r="N52" s="172" t="str">
        <f t="shared" ref="N52" si="272">IF(OR(M52&lt;0.9*$H52,M52&gt;1.1*$H52),"NO VÁLIDA","VÁLIDA")</f>
        <v>VÁLIDA</v>
      </c>
      <c r="O52" s="282">
        <f t="shared" ref="O52" si="273">SUM(O49:O51)</f>
        <v>0.3</v>
      </c>
      <c r="P52" s="276">
        <f t="shared" si="271"/>
        <v>2019655949</v>
      </c>
      <c r="Q52" s="172" t="str">
        <f t="shared" ref="Q52" si="274">IF(OR(P52&lt;0.9*$H52,P52&gt;1.1*$H52),"NO VÁLIDA","VÁLIDA")</f>
        <v>VÁLIDA</v>
      </c>
      <c r="R52" s="282">
        <f t="shared" ref="R52:BB52" si="275">SUM(R49:R51)</f>
        <v>0.3</v>
      </c>
      <c r="S52" s="276">
        <f t="shared" ref="S52" si="276">SUM(S49:S51)</f>
        <v>2024755292</v>
      </c>
      <c r="T52" s="172" t="str">
        <f t="shared" ref="T52" si="277">IF(OR(S52&lt;0.9*$H52,S52&gt;1.1*$H52),"NO VÁLIDA","VÁLIDA")</f>
        <v>VÁLIDA</v>
      </c>
      <c r="U52" s="282">
        <f t="shared" si="275"/>
        <v>0</v>
      </c>
      <c r="V52" s="276">
        <f t="shared" ref="V52" si="278">SUM(V49:V51)</f>
        <v>0</v>
      </c>
      <c r="W52" s="172" t="str">
        <f t="shared" ref="W52" si="279">IF(OR(V52&lt;0.9*$H52,V52&gt;1.1*$H52),"NO VÁLIDA","VÁLIDA")</f>
        <v>NO VÁLIDA</v>
      </c>
      <c r="X52" s="282">
        <f t="shared" si="275"/>
        <v>0</v>
      </c>
      <c r="Y52" s="276">
        <f t="shared" ref="Y52" si="280">SUM(Y49:Y51)</f>
        <v>0</v>
      </c>
      <c r="Z52" s="172" t="str">
        <f t="shared" ref="Z52" si="281">IF(OR(Y52&lt;0.9*$H52,Y52&gt;1.1*$H52),"NO VÁLIDA","VÁLIDA")</f>
        <v>NO VÁLIDA</v>
      </c>
      <c r="AA52" s="282">
        <f t="shared" si="275"/>
        <v>0.3</v>
      </c>
      <c r="AB52" s="276">
        <f t="shared" ref="AB52" si="282">SUM(AB49:AB51)</f>
        <v>2040439715</v>
      </c>
      <c r="AC52" s="172" t="str">
        <f t="shared" ref="AC52" si="283">IF(OR(AB52&lt;0.9*$H52,AB52&gt;1.1*$H52),"NO VÁLIDA","VÁLIDA")</f>
        <v>VÁLIDA</v>
      </c>
      <c r="AD52" s="282">
        <f t="shared" si="275"/>
        <v>0.3</v>
      </c>
      <c r="AE52" s="276">
        <f t="shared" ref="AE52" si="284">SUM(AE49:AE51)</f>
        <v>2007386403</v>
      </c>
      <c r="AF52" s="172" t="str">
        <f t="shared" ref="AF52" si="285">IF(OR(AE52&lt;0.9*$H52,AE52&gt;1.1*$H52),"NO VÁLIDA","VÁLIDA")</f>
        <v>VÁLIDA</v>
      </c>
      <c r="AG52" s="282">
        <f t="shared" si="275"/>
        <v>0</v>
      </c>
      <c r="AH52" s="276">
        <f t="shared" ref="AH52" si="286">SUM(AH49:AH51)</f>
        <v>0</v>
      </c>
      <c r="AI52" s="172" t="str">
        <f t="shared" ref="AI52" si="287">IF(OR(AH52&lt;0.9*$H52,AH52&gt;1.1*$H52),"NO VÁLIDA","VÁLIDA")</f>
        <v>NO VÁLIDA</v>
      </c>
      <c r="AJ52" s="282">
        <f t="shared" si="275"/>
        <v>0</v>
      </c>
      <c r="AK52" s="276">
        <f t="shared" ref="AK52" si="288">SUM(AK49:AK51)</f>
        <v>0</v>
      </c>
      <c r="AL52" s="172" t="str">
        <f t="shared" ref="AL52" si="289">IF(OR(AK52&lt;0.9*$H52,AK52&gt;1.1*$H52),"NO VÁLIDA","VÁLIDA")</f>
        <v>NO VÁLIDA</v>
      </c>
      <c r="AM52" s="282">
        <f t="shared" si="275"/>
        <v>0</v>
      </c>
      <c r="AN52" s="276">
        <f t="shared" ref="AN52" si="290">SUM(AN49:AN51)</f>
        <v>0</v>
      </c>
      <c r="AO52" s="172" t="str">
        <f t="shared" ref="AO52" si="291">IF(OR(AN52&lt;0.9*$H52,AN52&gt;1.1*$H52),"NO VÁLIDA","VÁLIDA")</f>
        <v>NO VÁLIDA</v>
      </c>
      <c r="AP52" s="282">
        <f t="shared" si="275"/>
        <v>0</v>
      </c>
      <c r="AQ52" s="276">
        <f t="shared" ref="AQ52" si="292">SUM(AQ49:AQ51)</f>
        <v>0</v>
      </c>
      <c r="AR52" s="172" t="str">
        <f t="shared" ref="AR52" si="293">IF(OR(AQ52&lt;0.9*$H52,AQ52&gt;1.1*$H52),"NO VÁLIDA","VÁLIDA")</f>
        <v>NO VÁLIDA</v>
      </c>
      <c r="AS52" s="282">
        <f t="shared" si="275"/>
        <v>0.3</v>
      </c>
      <c r="AT52" s="276">
        <f t="shared" ref="AT52" si="294">SUM(AT49:AT51)</f>
        <v>2026353272</v>
      </c>
      <c r="AU52" s="172" t="str">
        <f t="shared" ref="AU52" si="295">IF(OR(AT52&lt;0.9*$H52,AT52&gt;1.1*$H52),"NO VÁLIDA","VÁLIDA")</f>
        <v>VÁLIDA</v>
      </c>
      <c r="AV52" s="282">
        <f t="shared" si="275"/>
        <v>0</v>
      </c>
      <c r="AW52" s="276">
        <f t="shared" ref="AW52" si="296">SUM(AW49:AW51)</f>
        <v>0</v>
      </c>
      <c r="AX52" s="172" t="str">
        <f t="shared" ref="AX52" si="297">IF(OR(AW52&lt;0.9*$H52,AW52&gt;1.1*$H52),"NO VÁLIDA","VÁLIDA")</f>
        <v>NO VÁLIDA</v>
      </c>
      <c r="AY52" s="282">
        <f t="shared" si="275"/>
        <v>0.3</v>
      </c>
      <c r="AZ52" s="276">
        <f t="shared" ref="AZ52" si="298">SUM(AZ49:AZ51)</f>
        <v>2046554850</v>
      </c>
      <c r="BA52" s="172" t="str">
        <f t="shared" ref="BA52" si="299">IF(OR(AZ52&lt;0.9*$H52,AZ52&gt;1.1*$H52),"NO VÁLIDA","VÁLIDA")</f>
        <v>VÁLIDA</v>
      </c>
      <c r="BB52" s="282">
        <f t="shared" si="275"/>
        <v>0.3</v>
      </c>
      <c r="BC52" s="276">
        <f t="shared" ref="BC52" si="300">SUM(BC49:BC51)</f>
        <v>2023189720</v>
      </c>
      <c r="BD52" s="172" t="str">
        <f t="shared" ref="BD52" si="301">IF(OR(BC52&lt;0.9*$H52,BC52&gt;1.1*$H52),"NO VÁLIDA","VÁLIDA")</f>
        <v>VÁLIDA</v>
      </c>
      <c r="BE52"/>
    </row>
    <row r="53" spans="1:57" s="40" customFormat="1" ht="32.25" customHeight="1" x14ac:dyDescent="0.2">
      <c r="A53" s="39"/>
      <c r="B53" s="270"/>
      <c r="C53" s="271"/>
      <c r="D53" s="272"/>
      <c r="E53" s="271"/>
      <c r="F53" s="273"/>
      <c r="G53" s="273" t="s">
        <v>175</v>
      </c>
      <c r="H53" s="269">
        <f>ROUND(SUM(H48,H52),0)</f>
        <v>8888460342</v>
      </c>
      <c r="I53" s="173"/>
      <c r="J53" s="284">
        <f>ROUND(SUM(J48,J52),0)</f>
        <v>8716204841</v>
      </c>
      <c r="K53" s="176"/>
      <c r="L53" s="173"/>
      <c r="M53" s="284">
        <f t="shared" ref="M53" si="302">ROUND(SUM(M48,M52),0)</f>
        <v>8719072261</v>
      </c>
      <c r="N53" s="176"/>
      <c r="O53" s="173"/>
      <c r="P53" s="284">
        <f t="shared" ref="P53" si="303">ROUND(SUM(P48,P52),0)</f>
        <v>8751842445</v>
      </c>
      <c r="Q53" s="176"/>
      <c r="R53" s="173"/>
      <c r="S53" s="284">
        <f t="shared" ref="S53:BC53" si="304">ROUND(SUM(S48,S52),0)</f>
        <v>8773939600</v>
      </c>
      <c r="T53" s="176"/>
      <c r="U53" s="173"/>
      <c r="V53" s="284">
        <f t="shared" si="304"/>
        <v>0</v>
      </c>
      <c r="W53" s="176"/>
      <c r="X53" s="173"/>
      <c r="Y53" s="284">
        <f t="shared" si="304"/>
        <v>0</v>
      </c>
      <c r="Z53" s="176"/>
      <c r="AA53" s="173"/>
      <c r="AB53" s="284">
        <f t="shared" si="304"/>
        <v>8841905431</v>
      </c>
      <c r="AC53" s="176"/>
      <c r="AD53" s="173"/>
      <c r="AE53" s="284">
        <f t="shared" si="304"/>
        <v>8698674413</v>
      </c>
      <c r="AF53" s="176"/>
      <c r="AG53" s="173"/>
      <c r="AH53" s="284">
        <f t="shared" si="304"/>
        <v>0</v>
      </c>
      <c r="AI53" s="176"/>
      <c r="AJ53" s="173"/>
      <c r="AK53" s="284">
        <f t="shared" si="304"/>
        <v>0</v>
      </c>
      <c r="AL53" s="176"/>
      <c r="AM53" s="173"/>
      <c r="AN53" s="284">
        <f t="shared" si="304"/>
        <v>0</v>
      </c>
      <c r="AO53" s="176"/>
      <c r="AP53" s="173"/>
      <c r="AQ53" s="284">
        <f t="shared" si="304"/>
        <v>0</v>
      </c>
      <c r="AR53" s="176"/>
      <c r="AS53" s="173"/>
      <c r="AT53" s="284">
        <f t="shared" si="304"/>
        <v>8780864180</v>
      </c>
      <c r="AU53" s="176"/>
      <c r="AV53" s="173"/>
      <c r="AW53" s="284">
        <f t="shared" si="304"/>
        <v>0</v>
      </c>
      <c r="AX53" s="176"/>
      <c r="AY53" s="173"/>
      <c r="AZ53" s="284">
        <f t="shared" si="304"/>
        <v>8868404348</v>
      </c>
      <c r="BA53" s="176"/>
      <c r="BB53" s="173"/>
      <c r="BC53" s="284">
        <f t="shared" si="304"/>
        <v>8767155453</v>
      </c>
      <c r="BD53" s="176"/>
      <c r="BE53"/>
    </row>
    <row r="54" spans="1:57" s="40" customFormat="1" ht="32.25" customHeight="1" x14ac:dyDescent="0.2">
      <c r="A54" s="39"/>
      <c r="B54" s="373" t="s">
        <v>174</v>
      </c>
      <c r="C54" s="374"/>
      <c r="D54" s="374"/>
      <c r="E54" s="374"/>
      <c r="F54" s="375"/>
      <c r="G54" s="275">
        <v>0.19</v>
      </c>
      <c r="H54" s="276">
        <f>+ROUND(((H53*G54*G51)/(1+G52)),0)</f>
        <v>64954133</v>
      </c>
      <c r="I54" s="295"/>
      <c r="J54" s="285">
        <f>+ROUND(((J53*$G$54*I51)/(1+I52)),0)</f>
        <v>63695343</v>
      </c>
      <c r="K54" s="176"/>
      <c r="L54" s="295"/>
      <c r="M54" s="285">
        <f t="shared" ref="M54" si="305">+ROUND(((M53*$G$54*L51)/(1+L52)),0)</f>
        <v>63716297</v>
      </c>
      <c r="N54" s="176"/>
      <c r="O54" s="295"/>
      <c r="P54" s="285">
        <f t="shared" ref="P54" si="306">+ROUND(((P53*$G$54*O51)/(1+O52)),0)</f>
        <v>63955772</v>
      </c>
      <c r="Q54" s="176"/>
      <c r="R54" s="295"/>
      <c r="S54" s="285">
        <f t="shared" ref="S54" si="307">+ROUND(((S53*$G$54*R51)/(1+R52)),0)</f>
        <v>64117251</v>
      </c>
      <c r="T54" s="176"/>
      <c r="U54" s="295"/>
      <c r="V54" s="285">
        <f t="shared" ref="V54" si="308">+ROUND(((V53*$G$54*U51)/(1+U52)),0)</f>
        <v>0</v>
      </c>
      <c r="W54" s="176"/>
      <c r="X54" s="295"/>
      <c r="Y54" s="285">
        <f t="shared" ref="Y54" si="309">+ROUND(((Y53*$G$54*X51)/(1+X52)),0)</f>
        <v>0</v>
      </c>
      <c r="Z54" s="176"/>
      <c r="AA54" s="295"/>
      <c r="AB54" s="285">
        <f t="shared" ref="AB54" si="310">+ROUND(((AB53*$G$54*AA51)/(1+AA52)),0)</f>
        <v>51691139</v>
      </c>
      <c r="AC54" s="176"/>
      <c r="AD54" s="295"/>
      <c r="AE54" s="285">
        <f t="shared" ref="AE54" si="311">+ROUND(((AE53*$G$54*AD51)/(1+AD52)),0)</f>
        <v>63567236</v>
      </c>
      <c r="AF54" s="176"/>
      <c r="AG54" s="295"/>
      <c r="AH54" s="285">
        <f t="shared" ref="AH54" si="312">+ROUND(((AH53*$G$54*AG51)/(1+AG52)),0)</f>
        <v>0</v>
      </c>
      <c r="AI54" s="176"/>
      <c r="AJ54" s="295"/>
      <c r="AK54" s="285">
        <f t="shared" ref="AK54" si="313">+ROUND(((AK53*$G$54*AJ51)/(1+AJ52)),0)</f>
        <v>0</v>
      </c>
      <c r="AL54" s="176"/>
      <c r="AM54" s="295"/>
      <c r="AN54" s="285">
        <f t="shared" ref="AN54" si="314">+ROUND(((AN53*$G$54*AM51)/(1+AM52)),0)</f>
        <v>0</v>
      </c>
      <c r="AO54" s="176"/>
      <c r="AP54" s="295"/>
      <c r="AQ54" s="285">
        <f t="shared" ref="AQ54" si="315">+ROUND(((AQ53*$G$54*AP51)/(1+AP52)),0)</f>
        <v>0</v>
      </c>
      <c r="AR54" s="176"/>
      <c r="AS54" s="295"/>
      <c r="AT54" s="285">
        <f t="shared" ref="AT54" si="316">+ROUND(((AT53*$G$54*AS51)/(1+AS52)),0)</f>
        <v>64167854</v>
      </c>
      <c r="AU54" s="176"/>
      <c r="AV54" s="295"/>
      <c r="AW54" s="285">
        <f t="shared" ref="AW54" si="317">+ROUND(((AW53*$G$54*AV51)/(1+AV52)),0)</f>
        <v>0</v>
      </c>
      <c r="AX54" s="176"/>
      <c r="AY54" s="295"/>
      <c r="AZ54" s="285">
        <f t="shared" ref="AZ54" si="318">+ROUND(((AZ53*$G$54*AY51)/(1+AY52)),0)</f>
        <v>64807570</v>
      </c>
      <c r="BA54" s="176"/>
      <c r="BB54" s="295"/>
      <c r="BC54" s="285">
        <f t="shared" ref="BC54" si="319">+ROUND(((BC53*$G$54*BB51)/(1+BB52)),0)</f>
        <v>64067674</v>
      </c>
      <c r="BD54" s="176"/>
      <c r="BE54"/>
    </row>
    <row r="55" spans="1:57" s="40" customFormat="1" ht="32.25" customHeight="1" x14ac:dyDescent="0.2">
      <c r="A55" s="39"/>
      <c r="B55" s="270"/>
      <c r="C55" s="271"/>
      <c r="D55" s="272"/>
      <c r="E55" s="271"/>
      <c r="F55" s="273"/>
      <c r="G55" s="273" t="s">
        <v>176</v>
      </c>
      <c r="H55" s="269">
        <f>ROUND(SUM(H53,H54),0)</f>
        <v>8953414475</v>
      </c>
      <c r="I55" s="235"/>
      <c r="J55" s="284">
        <f>ROUND(SUM(J53,J54),0)</f>
        <v>8779900184</v>
      </c>
      <c r="K55" s="176"/>
      <c r="L55" s="235"/>
      <c r="M55" s="284">
        <f t="shared" ref="M55" si="320">ROUND(SUM(M53,M54),0)</f>
        <v>8782788558</v>
      </c>
      <c r="N55" s="176"/>
      <c r="O55" s="235"/>
      <c r="P55" s="284">
        <f t="shared" ref="P55" si="321">ROUND(SUM(P53,P54),0)</f>
        <v>8815798217</v>
      </c>
      <c r="Q55" s="176"/>
      <c r="R55" s="235"/>
      <c r="S55" s="284">
        <f t="shared" ref="S55:BC55" si="322">ROUND(SUM(S53,S54),0)</f>
        <v>8838056851</v>
      </c>
      <c r="T55" s="176"/>
      <c r="U55" s="235"/>
      <c r="V55" s="284">
        <f t="shared" si="322"/>
        <v>0</v>
      </c>
      <c r="W55" s="176"/>
      <c r="X55" s="235"/>
      <c r="Y55" s="284">
        <f t="shared" si="322"/>
        <v>0</v>
      </c>
      <c r="Z55" s="176"/>
      <c r="AA55" s="235"/>
      <c r="AB55" s="284">
        <f t="shared" si="322"/>
        <v>8893596570</v>
      </c>
      <c r="AC55" s="176"/>
      <c r="AD55" s="235"/>
      <c r="AE55" s="284">
        <f t="shared" si="322"/>
        <v>8762241649</v>
      </c>
      <c r="AF55" s="176"/>
      <c r="AG55" s="235"/>
      <c r="AH55" s="284">
        <f t="shared" si="322"/>
        <v>0</v>
      </c>
      <c r="AI55" s="176"/>
      <c r="AJ55" s="235"/>
      <c r="AK55" s="284">
        <f t="shared" si="322"/>
        <v>0</v>
      </c>
      <c r="AL55" s="176"/>
      <c r="AM55" s="235"/>
      <c r="AN55" s="284">
        <f t="shared" si="322"/>
        <v>0</v>
      </c>
      <c r="AO55" s="176"/>
      <c r="AP55" s="235"/>
      <c r="AQ55" s="284">
        <f t="shared" si="322"/>
        <v>0</v>
      </c>
      <c r="AR55" s="176"/>
      <c r="AS55" s="235"/>
      <c r="AT55" s="284">
        <f t="shared" si="322"/>
        <v>8845032034</v>
      </c>
      <c r="AU55" s="176"/>
      <c r="AV55" s="235"/>
      <c r="AW55" s="284">
        <f t="shared" si="322"/>
        <v>0</v>
      </c>
      <c r="AX55" s="176"/>
      <c r="AY55" s="235"/>
      <c r="AZ55" s="284">
        <f t="shared" si="322"/>
        <v>8933211918</v>
      </c>
      <c r="BA55" s="176"/>
      <c r="BB55" s="235"/>
      <c r="BC55" s="284">
        <f t="shared" si="322"/>
        <v>8831223127</v>
      </c>
      <c r="BD55" s="176"/>
      <c r="BE55"/>
    </row>
    <row r="56" spans="1:57" s="40" customFormat="1" ht="36.75" customHeight="1" x14ac:dyDescent="0.2">
      <c r="A56" s="39"/>
      <c r="B56" s="359" t="s">
        <v>177</v>
      </c>
      <c r="C56" s="360"/>
      <c r="D56" s="360"/>
      <c r="E56" s="360"/>
      <c r="F56" s="360"/>
      <c r="G56" s="361"/>
      <c r="H56" s="248">
        <v>191500000</v>
      </c>
      <c r="I56" s="209" t="s">
        <v>92</v>
      </c>
      <c r="J56" s="231">
        <v>191500000</v>
      </c>
      <c r="K56" s="172" t="str">
        <f>+IF(J56&gt;0,IF(J56&lt;&gt;$H56,"NO VÁLIDA","VÁLIDA"),"NO VÁLIDA")</f>
        <v>VÁLIDA</v>
      </c>
      <c r="L56" s="209" t="s">
        <v>92</v>
      </c>
      <c r="M56" s="231">
        <v>191500000</v>
      </c>
      <c r="N56" s="172" t="str">
        <f t="shared" ref="N56" si="323">+IF(M56&gt;0,IF(M56&lt;&gt;$H56,"NO VÁLIDA","VÁLIDA"),"NO VÁLIDA")</f>
        <v>VÁLIDA</v>
      </c>
      <c r="O56" s="209" t="s">
        <v>92</v>
      </c>
      <c r="P56" s="231">
        <v>191500000</v>
      </c>
      <c r="Q56" s="172" t="str">
        <f t="shared" ref="Q56" si="324">+IF(P56&gt;0,IF(P56&lt;&gt;$H56,"NO VÁLIDA","VÁLIDA"),"NO VÁLIDA")</f>
        <v>VÁLIDA</v>
      </c>
      <c r="R56" s="209" t="s">
        <v>92</v>
      </c>
      <c r="S56" s="231">
        <v>191500000</v>
      </c>
      <c r="T56" s="172" t="str">
        <f t="shared" ref="T56:T57" si="325">+IF(S56&gt;0,IF(S56&lt;&gt;$H56,"NO VÁLIDA","VÁLIDA"),"NO VÁLIDA")</f>
        <v>VÁLIDA</v>
      </c>
      <c r="U56" s="209" t="s">
        <v>92</v>
      </c>
      <c r="V56" s="231"/>
      <c r="W56" s="172" t="str">
        <f t="shared" ref="W56:W57" si="326">+IF(V56&gt;0,IF(V56&lt;&gt;$H56,"NO VÁLIDA","VÁLIDA"),"NO VÁLIDA")</f>
        <v>NO VÁLIDA</v>
      </c>
      <c r="X56" s="209" t="s">
        <v>92</v>
      </c>
      <c r="Y56" s="231"/>
      <c r="Z56" s="172" t="str">
        <f t="shared" ref="Z56:Z57" si="327">+IF(Y56&gt;0,IF(Y56&lt;&gt;$H56,"NO VÁLIDA","VÁLIDA"),"NO VÁLIDA")</f>
        <v>NO VÁLIDA</v>
      </c>
      <c r="AA56" s="209" t="s">
        <v>92</v>
      </c>
      <c r="AB56" s="231">
        <v>191500000</v>
      </c>
      <c r="AC56" s="172" t="str">
        <f t="shared" ref="AC56:AC57" si="328">+IF(AB56&gt;0,IF(AB56&lt;&gt;$H56,"NO VÁLIDA","VÁLIDA"),"NO VÁLIDA")</f>
        <v>VÁLIDA</v>
      </c>
      <c r="AD56" s="209" t="s">
        <v>92</v>
      </c>
      <c r="AE56" s="231">
        <v>191500000</v>
      </c>
      <c r="AF56" s="172" t="str">
        <f t="shared" ref="AF56:AF57" si="329">+IF(AE56&gt;0,IF(AE56&lt;&gt;$H56,"NO VÁLIDA","VÁLIDA"),"NO VÁLIDA")</f>
        <v>VÁLIDA</v>
      </c>
      <c r="AG56" s="209" t="s">
        <v>92</v>
      </c>
      <c r="AH56" s="231"/>
      <c r="AI56" s="172" t="str">
        <f t="shared" ref="AI56:AI57" si="330">+IF(AH56&gt;0,IF(AH56&lt;&gt;$H56,"NO VÁLIDA","VÁLIDA"),"NO VÁLIDA")</f>
        <v>NO VÁLIDA</v>
      </c>
      <c r="AJ56" s="209" t="s">
        <v>92</v>
      </c>
      <c r="AK56" s="231"/>
      <c r="AL56" s="172" t="str">
        <f t="shared" ref="AL56:AL57" si="331">+IF(AK56&gt;0,IF(AK56&lt;&gt;$H56,"NO VÁLIDA","VÁLIDA"),"NO VÁLIDA")</f>
        <v>NO VÁLIDA</v>
      </c>
      <c r="AM56" s="209" t="s">
        <v>92</v>
      </c>
      <c r="AN56" s="231"/>
      <c r="AO56" s="172" t="str">
        <f t="shared" ref="AO56:AO57" si="332">+IF(AN56&gt;0,IF(AN56&lt;&gt;$H56,"NO VÁLIDA","VÁLIDA"),"NO VÁLIDA")</f>
        <v>NO VÁLIDA</v>
      </c>
      <c r="AP56" s="209" t="s">
        <v>92</v>
      </c>
      <c r="AQ56" s="231"/>
      <c r="AR56" s="172" t="str">
        <f t="shared" ref="AR56:AR57" si="333">+IF(AQ56&gt;0,IF(AQ56&lt;&gt;$H56,"NO VÁLIDA","VÁLIDA"),"NO VÁLIDA")</f>
        <v>NO VÁLIDA</v>
      </c>
      <c r="AS56" s="209" t="s">
        <v>92</v>
      </c>
      <c r="AT56" s="231">
        <v>191500000</v>
      </c>
      <c r="AU56" s="172" t="str">
        <f t="shared" ref="AU56:AU57" si="334">+IF(AT56&gt;0,IF(AT56&lt;&gt;$H56,"NO VÁLIDA","VÁLIDA"),"NO VÁLIDA")</f>
        <v>VÁLIDA</v>
      </c>
      <c r="AV56" s="209" t="s">
        <v>92</v>
      </c>
      <c r="AW56" s="231"/>
      <c r="AX56" s="172" t="str">
        <f t="shared" ref="AX56:AX57" si="335">+IF(AW56&gt;0,IF(AW56&lt;&gt;$H56,"NO VÁLIDA","VÁLIDA"),"NO VÁLIDA")</f>
        <v>NO VÁLIDA</v>
      </c>
      <c r="AY56" s="209" t="s">
        <v>92</v>
      </c>
      <c r="AZ56" s="231">
        <v>191500000</v>
      </c>
      <c r="BA56" s="172" t="str">
        <f t="shared" ref="BA56:BA57" si="336">+IF(AZ56&gt;0,IF(AZ56&lt;&gt;$H56,"NO VÁLIDA","VÁLIDA"),"NO VÁLIDA")</f>
        <v>VÁLIDA</v>
      </c>
      <c r="BB56" s="209" t="s">
        <v>92</v>
      </c>
      <c r="BC56" s="231">
        <v>191500000</v>
      </c>
      <c r="BD56" s="172" t="str">
        <f t="shared" ref="BD56:BD57" si="337">+IF(BC56&gt;0,IF(BC56&lt;&gt;$H56,"NO VÁLIDA","VÁLIDA"),"NO VÁLIDA")</f>
        <v>VÁLIDA</v>
      </c>
      <c r="BE56"/>
    </row>
    <row r="57" spans="1:57" s="40" customFormat="1" ht="36.75" customHeight="1" thickBot="1" x14ac:dyDescent="0.25">
      <c r="A57" s="39"/>
      <c r="B57" s="359" t="s">
        <v>178</v>
      </c>
      <c r="C57" s="360"/>
      <c r="D57" s="360"/>
      <c r="E57" s="360"/>
      <c r="F57" s="360"/>
      <c r="G57" s="361"/>
      <c r="H57" s="248">
        <v>266653810</v>
      </c>
      <c r="I57" s="209" t="s">
        <v>92</v>
      </c>
      <c r="J57" s="231">
        <v>266653810</v>
      </c>
      <c r="K57" s="172" t="str">
        <f>+IF(J57&gt;0,IF(J57&lt;&gt;$H57,"NO VÁLIDA","VÁLIDA"),"NO VÁLIDA")</f>
        <v>VÁLIDA</v>
      </c>
      <c r="L57" s="209" t="s">
        <v>92</v>
      </c>
      <c r="M57" s="231">
        <v>266653810</v>
      </c>
      <c r="N57" s="172" t="str">
        <f t="shared" ref="N57" si="338">+IF(M57&gt;0,IF(M57&lt;&gt;$H57,"NO VÁLIDA","VÁLIDA"),"NO VÁLIDA")</f>
        <v>VÁLIDA</v>
      </c>
      <c r="O57" s="209" t="s">
        <v>92</v>
      </c>
      <c r="P57" s="231">
        <v>266653810</v>
      </c>
      <c r="Q57" s="172" t="str">
        <f t="shared" ref="Q57" si="339">+IF(P57&gt;0,IF(P57&lt;&gt;$H57,"NO VÁLIDA","VÁLIDA"),"NO VÁLIDA")</f>
        <v>VÁLIDA</v>
      </c>
      <c r="R57" s="209" t="s">
        <v>92</v>
      </c>
      <c r="S57" s="231">
        <v>266653810</v>
      </c>
      <c r="T57" s="172" t="str">
        <f t="shared" si="325"/>
        <v>VÁLIDA</v>
      </c>
      <c r="U57" s="209" t="s">
        <v>92</v>
      </c>
      <c r="V57" s="231"/>
      <c r="W57" s="172" t="str">
        <f t="shared" si="326"/>
        <v>NO VÁLIDA</v>
      </c>
      <c r="X57" s="209" t="s">
        <v>92</v>
      </c>
      <c r="Y57" s="231"/>
      <c r="Z57" s="172" t="str">
        <f t="shared" si="327"/>
        <v>NO VÁLIDA</v>
      </c>
      <c r="AA57" s="209" t="s">
        <v>92</v>
      </c>
      <c r="AB57" s="231">
        <v>266653810</v>
      </c>
      <c r="AC57" s="172" t="str">
        <f t="shared" si="328"/>
        <v>VÁLIDA</v>
      </c>
      <c r="AD57" s="209" t="s">
        <v>92</v>
      </c>
      <c r="AE57" s="231">
        <v>266653810</v>
      </c>
      <c r="AF57" s="172" t="str">
        <f t="shared" si="329"/>
        <v>VÁLIDA</v>
      </c>
      <c r="AG57" s="209" t="s">
        <v>92</v>
      </c>
      <c r="AH57" s="231"/>
      <c r="AI57" s="172" t="str">
        <f t="shared" si="330"/>
        <v>NO VÁLIDA</v>
      </c>
      <c r="AJ57" s="209" t="s">
        <v>92</v>
      </c>
      <c r="AK57" s="231"/>
      <c r="AL57" s="172" t="str">
        <f t="shared" si="331"/>
        <v>NO VÁLIDA</v>
      </c>
      <c r="AM57" s="209" t="s">
        <v>92</v>
      </c>
      <c r="AN57" s="231"/>
      <c r="AO57" s="172" t="str">
        <f t="shared" si="332"/>
        <v>NO VÁLIDA</v>
      </c>
      <c r="AP57" s="209" t="s">
        <v>92</v>
      </c>
      <c r="AQ57" s="231"/>
      <c r="AR57" s="172" t="str">
        <f t="shared" si="333"/>
        <v>NO VÁLIDA</v>
      </c>
      <c r="AS57" s="209" t="s">
        <v>92</v>
      </c>
      <c r="AT57" s="231">
        <v>266653810</v>
      </c>
      <c r="AU57" s="172" t="str">
        <f t="shared" si="334"/>
        <v>VÁLIDA</v>
      </c>
      <c r="AV57" s="209" t="s">
        <v>92</v>
      </c>
      <c r="AW57" s="231"/>
      <c r="AX57" s="172" t="str">
        <f t="shared" si="335"/>
        <v>NO VÁLIDA</v>
      </c>
      <c r="AY57" s="209" t="s">
        <v>92</v>
      </c>
      <c r="AZ57" s="231">
        <v>266653810</v>
      </c>
      <c r="BA57" s="172" t="str">
        <f t="shared" si="336"/>
        <v>VÁLIDA</v>
      </c>
      <c r="BB57" s="209" t="s">
        <v>92</v>
      </c>
      <c r="BC57" s="231">
        <v>266653810</v>
      </c>
      <c r="BD57" s="172" t="str">
        <f t="shared" si="337"/>
        <v>VÁLIDA</v>
      </c>
      <c r="BE57"/>
    </row>
    <row r="58" spans="1:57" s="240" customFormat="1" ht="36.75" customHeight="1" thickBot="1" x14ac:dyDescent="0.25">
      <c r="A58" s="236"/>
      <c r="B58" s="277"/>
      <c r="C58" s="278"/>
      <c r="D58" s="279"/>
      <c r="E58" s="278"/>
      <c r="F58" s="280"/>
      <c r="G58" s="280" t="s">
        <v>179</v>
      </c>
      <c r="H58" s="281">
        <f>ROUND(SUM(H55:H57),0)</f>
        <v>9411568285</v>
      </c>
      <c r="I58" s="237"/>
      <c r="J58" s="286">
        <f>ROUND(SUM(J55:J57),0)</f>
        <v>9238053994</v>
      </c>
      <c r="K58" s="238"/>
      <c r="L58" s="237"/>
      <c r="M58" s="286">
        <f t="shared" ref="M58" si="340">ROUND(SUM(M55:M57),0)</f>
        <v>9240942368</v>
      </c>
      <c r="N58" s="238"/>
      <c r="O58" s="237"/>
      <c r="P58" s="286">
        <f t="shared" ref="P58" si="341">ROUND(SUM(P55:P57),0)</f>
        <v>9273952027</v>
      </c>
      <c r="Q58" s="238"/>
      <c r="R58" s="237"/>
      <c r="S58" s="286">
        <f t="shared" ref="S58:BC58" si="342">ROUND(SUM(S55:S57),0)</f>
        <v>9296210661</v>
      </c>
      <c r="T58" s="238"/>
      <c r="U58" s="237"/>
      <c r="V58" s="286">
        <f t="shared" si="342"/>
        <v>0</v>
      </c>
      <c r="W58" s="238"/>
      <c r="X58" s="237"/>
      <c r="Y58" s="286">
        <f t="shared" si="342"/>
        <v>0</v>
      </c>
      <c r="Z58" s="238"/>
      <c r="AA58" s="237"/>
      <c r="AB58" s="286">
        <f t="shared" si="342"/>
        <v>9351750380</v>
      </c>
      <c r="AC58" s="238"/>
      <c r="AD58" s="237"/>
      <c r="AE58" s="286">
        <f t="shared" si="342"/>
        <v>9220395459</v>
      </c>
      <c r="AF58" s="238"/>
      <c r="AG58" s="237"/>
      <c r="AH58" s="286">
        <f t="shared" si="342"/>
        <v>0</v>
      </c>
      <c r="AI58" s="238"/>
      <c r="AJ58" s="237"/>
      <c r="AK58" s="286">
        <f t="shared" si="342"/>
        <v>0</v>
      </c>
      <c r="AL58" s="238"/>
      <c r="AM58" s="237"/>
      <c r="AN58" s="286">
        <f t="shared" si="342"/>
        <v>0</v>
      </c>
      <c r="AO58" s="238"/>
      <c r="AP58" s="237"/>
      <c r="AQ58" s="286">
        <f t="shared" si="342"/>
        <v>0</v>
      </c>
      <c r="AR58" s="238"/>
      <c r="AS58" s="237"/>
      <c r="AT58" s="286">
        <f t="shared" si="342"/>
        <v>9303185844</v>
      </c>
      <c r="AU58" s="238"/>
      <c r="AV58" s="237"/>
      <c r="AW58" s="286">
        <f t="shared" si="342"/>
        <v>0</v>
      </c>
      <c r="AX58" s="238"/>
      <c r="AY58" s="237"/>
      <c r="AZ58" s="286">
        <f t="shared" si="342"/>
        <v>9391365728</v>
      </c>
      <c r="BA58" s="238"/>
      <c r="BB58" s="237"/>
      <c r="BC58" s="286">
        <f t="shared" si="342"/>
        <v>9289376937</v>
      </c>
      <c r="BD58" s="238"/>
      <c r="BE58" s="239"/>
    </row>
    <row r="59" spans="1:57" s="40" customFormat="1" ht="36.75" customHeight="1" thickBot="1" x14ac:dyDescent="0.25">
      <c r="A59" s="39"/>
      <c r="B59" s="241" t="s">
        <v>0</v>
      </c>
      <c r="C59" s="177"/>
      <c r="D59" s="80"/>
      <c r="E59" s="178"/>
      <c r="F59" s="81"/>
      <c r="G59" s="81"/>
      <c r="H59" s="79">
        <f>ROUND(H58,0)</f>
        <v>9411568285</v>
      </c>
      <c r="I59" s="179"/>
      <c r="J59" s="180">
        <f>IF(I10="ADMISIBLE",IF(AND(K59="VÁLIDA",J58&lt;=$H$59,I61="",J58&gt;=$H$59*0.9),J58,"DESCARTADO"),I10)</f>
        <v>9238053994</v>
      </c>
      <c r="K59" s="172" t="str">
        <f>IF(COUNTIF(K15:K57,"NO VÁLIDA")&gt;0,"NO VÁLIDA","VÁLIDA")</f>
        <v>VÁLIDA</v>
      </c>
      <c r="L59" s="179"/>
      <c r="M59" s="180">
        <f t="shared" ref="M59" si="343">IF(L10="ADMISIBLE",IF(AND(N59="VÁLIDA",M58&lt;=$H$59,L61="",M58&gt;=$H$59*0.9),M58,"DESCARTADO"),L10)</f>
        <v>9240942368</v>
      </c>
      <c r="N59" s="172" t="str">
        <f t="shared" ref="N59" si="344">IF(COUNTIF(N15:N57,"NO VÁLIDA")&gt;0,"NO VÁLIDA","VÁLIDA")</f>
        <v>VÁLIDA</v>
      </c>
      <c r="O59" s="179"/>
      <c r="P59" s="180">
        <f t="shared" ref="P59" si="345">IF(O10="ADMISIBLE",IF(AND(Q59="VÁLIDA",P58&lt;=$H$59,O61="",P58&gt;=$H$59*0.9),P58,"DESCARTADO"),O10)</f>
        <v>9273952027</v>
      </c>
      <c r="Q59" s="172" t="str">
        <f t="shared" ref="Q59" si="346">IF(COUNTIF(Q15:Q57,"NO VÁLIDA")&gt;0,"NO VÁLIDA","VÁLIDA")</f>
        <v>VÁLIDA</v>
      </c>
      <c r="R59" s="179"/>
      <c r="S59" s="180">
        <f t="shared" ref="S59" si="347">IF(R10="ADMISIBLE",IF(AND(T59="VÁLIDA",S58&lt;=$H$59,R61="",S58&gt;=$H$59*0.9),S58,"DESCARTADO"),R10)</f>
        <v>9296210661</v>
      </c>
      <c r="T59" s="172" t="str">
        <f t="shared" ref="T59:BD59" si="348">IF(COUNTIF(T15:T57,"NO VÁLIDA")&gt;0,"NO VÁLIDA","VÁLIDA")</f>
        <v>VÁLIDA</v>
      </c>
      <c r="U59" s="179"/>
      <c r="V59" s="180" t="str">
        <f t="shared" ref="V59" si="349">IF(U10="ADMISIBLE",IF(AND(W59="VÁLIDA",V58&lt;=$H$59,U61="",V58&gt;=$H$59*0.9),V58,"DESCARTADO"),U10)</f>
        <v>RECHAZO</v>
      </c>
      <c r="W59" s="172" t="str">
        <f t="shared" si="348"/>
        <v>NO VÁLIDA</v>
      </c>
      <c r="X59" s="179"/>
      <c r="Y59" s="180" t="str">
        <f t="shared" ref="Y59" si="350">IF(X10="ADMISIBLE",IF(AND(Z59="VÁLIDA",Y58&lt;=$H$59,X61="",Y58&gt;=$H$59*0.9),Y58,"DESCARTADO"),X10)</f>
        <v>RECHAZO</v>
      </c>
      <c r="Z59" s="172" t="str">
        <f t="shared" si="348"/>
        <v>NO VÁLIDA</v>
      </c>
      <c r="AA59" s="179"/>
      <c r="AB59" s="180">
        <f t="shared" ref="AB59" si="351">IF(AA10="ADMISIBLE",IF(AND(AC59="VÁLIDA",AB58&lt;=$H$59,AA61="",AB58&gt;=$H$59*0.9),AB58,"DESCARTADO"),AA10)</f>
        <v>9351750380</v>
      </c>
      <c r="AC59" s="172" t="str">
        <f t="shared" si="348"/>
        <v>VÁLIDA</v>
      </c>
      <c r="AD59" s="179"/>
      <c r="AE59" s="180">
        <f t="shared" ref="AE59" si="352">IF(AD10="ADMISIBLE",IF(AND(AF59="VÁLIDA",AE58&lt;=$H$59,AD61="",AE58&gt;=$H$59*0.9),AE58,"DESCARTADO"),AD10)</f>
        <v>9220395459</v>
      </c>
      <c r="AF59" s="172" t="str">
        <f t="shared" si="348"/>
        <v>VÁLIDA</v>
      </c>
      <c r="AG59" s="179"/>
      <c r="AH59" s="180" t="str">
        <f t="shared" ref="AH59" si="353">IF(AG10="ADMISIBLE",IF(AND(AI59="VÁLIDA",AH58&lt;=$H$59,AG61="",AH58&gt;=$H$59*0.9),AH58,"DESCARTADO"),AG10)</f>
        <v>RECHAZO</v>
      </c>
      <c r="AI59" s="172" t="str">
        <f t="shared" si="348"/>
        <v>NO VÁLIDA</v>
      </c>
      <c r="AJ59" s="179"/>
      <c r="AK59" s="180" t="str">
        <f t="shared" ref="AK59" si="354">IF(AJ10="ADMISIBLE",IF(AND(AL59="VÁLIDA",AK58&lt;=$H$59,AJ61="",AK58&gt;=$H$59*0.9),AK58,"DESCARTADO"),AJ10)</f>
        <v>RECHAZO</v>
      </c>
      <c r="AL59" s="172" t="str">
        <f t="shared" si="348"/>
        <v>NO VÁLIDA</v>
      </c>
      <c r="AM59" s="179"/>
      <c r="AN59" s="180" t="str">
        <f t="shared" ref="AN59" si="355">IF(AM10="ADMISIBLE",IF(AND(AO59="VÁLIDA",AN58&lt;=$H$59,AM61="",AN58&gt;=$H$59*0.9),AN58,"DESCARTADO"),AM10)</f>
        <v>RECHAZO</v>
      </c>
      <c r="AO59" s="172" t="str">
        <f t="shared" si="348"/>
        <v>NO VÁLIDA</v>
      </c>
      <c r="AP59" s="179"/>
      <c r="AQ59" s="180" t="str">
        <f t="shared" ref="AQ59" si="356">IF(AP10="ADMISIBLE",IF(AND(AR59="VÁLIDA",AQ58&lt;=$H$59,AP61="",AQ58&gt;=$H$59*0.9),AQ58,"DESCARTADO"),AP10)</f>
        <v>RECHAZO</v>
      </c>
      <c r="AR59" s="172" t="str">
        <f t="shared" si="348"/>
        <v>NO VÁLIDA</v>
      </c>
      <c r="AS59" s="179"/>
      <c r="AT59" s="180">
        <f t="shared" ref="AT59" si="357">IF(AS10="ADMISIBLE",IF(AND(AU59="VÁLIDA",AT58&lt;=$H$59,AS61="",AT58&gt;=$H$59*0.9),AT58,"DESCARTADO"),AS10)</f>
        <v>9303185844</v>
      </c>
      <c r="AU59" s="172" t="str">
        <f t="shared" si="348"/>
        <v>VÁLIDA</v>
      </c>
      <c r="AV59" s="179"/>
      <c r="AW59" s="180" t="str">
        <f t="shared" ref="AW59" si="358">IF(AV10="ADMISIBLE",IF(AND(AX59="VÁLIDA",AW58&lt;=$H$59,AV61="",AW58&gt;=$H$59*0.9),AW58,"DESCARTADO"),AV10)</f>
        <v>RECHAZO</v>
      </c>
      <c r="AX59" s="172" t="str">
        <f t="shared" si="348"/>
        <v>NO VÁLIDA</v>
      </c>
      <c r="AY59" s="179"/>
      <c r="AZ59" s="180">
        <f t="shared" ref="AZ59" si="359">IF(AY10="ADMISIBLE",IF(AND(BA59="VÁLIDA",AZ58&lt;=$H$59,AY61="",AZ58&gt;=$H$59*0.9),AZ58,"DESCARTADO"),AY10)</f>
        <v>9391365728</v>
      </c>
      <c r="BA59" s="172" t="str">
        <f t="shared" si="348"/>
        <v>VÁLIDA</v>
      </c>
      <c r="BB59" s="179"/>
      <c r="BC59" s="180">
        <f t="shared" ref="BC59" si="360">IF(BB10="ADMISIBLE",IF(AND(BD59="VÁLIDA",BC58&lt;=$H$59,BB61="",BC58&gt;=$H$59*0.9),BC58,"DESCARTADO"),BB10)</f>
        <v>9289376937</v>
      </c>
      <c r="BD59" s="172" t="str">
        <f t="shared" si="348"/>
        <v>VÁLIDA</v>
      </c>
      <c r="BE59"/>
    </row>
    <row r="60" spans="1:57" s="9" customFormat="1" ht="19.5" thickTop="1" thickBot="1" x14ac:dyDescent="0.3">
      <c r="A60" s="22"/>
      <c r="B60" s="14"/>
      <c r="C60" s="14"/>
      <c r="D60" s="23"/>
      <c r="E60" s="23"/>
      <c r="F60" s="23"/>
      <c r="G60" s="28"/>
      <c r="H60" s="28"/>
      <c r="I60" s="362">
        <f>I11</f>
        <v>2</v>
      </c>
      <c r="J60" s="363"/>
      <c r="K60" s="364"/>
      <c r="L60" s="362">
        <f>L11</f>
        <v>4</v>
      </c>
      <c r="M60" s="363"/>
      <c r="N60" s="364"/>
      <c r="O60" s="362">
        <f>O11</f>
        <v>12</v>
      </c>
      <c r="P60" s="363"/>
      <c r="Q60" s="364"/>
      <c r="R60" s="362">
        <f>R11</f>
        <v>14</v>
      </c>
      <c r="S60" s="363"/>
      <c r="T60" s="364"/>
      <c r="U60" s="362">
        <f>U11</f>
        <v>15</v>
      </c>
      <c r="V60" s="363"/>
      <c r="W60" s="364"/>
      <c r="X60" s="362">
        <f>X11</f>
        <v>16</v>
      </c>
      <c r="Y60" s="363"/>
      <c r="Z60" s="364"/>
      <c r="AA60" s="362">
        <f>AA11</f>
        <v>17</v>
      </c>
      <c r="AB60" s="363"/>
      <c r="AC60" s="364"/>
      <c r="AD60" s="362">
        <f>AD11</f>
        <v>18</v>
      </c>
      <c r="AE60" s="363"/>
      <c r="AF60" s="364"/>
      <c r="AG60" s="362">
        <f>AG11</f>
        <v>19</v>
      </c>
      <c r="AH60" s="363"/>
      <c r="AI60" s="364"/>
      <c r="AJ60" s="362">
        <f>AJ11</f>
        <v>20</v>
      </c>
      <c r="AK60" s="363"/>
      <c r="AL60" s="364"/>
      <c r="AM60" s="362">
        <f>AM11</f>
        <v>21</v>
      </c>
      <c r="AN60" s="363"/>
      <c r="AO60" s="364"/>
      <c r="AP60" s="362">
        <f>AP11</f>
        <v>22</v>
      </c>
      <c r="AQ60" s="363"/>
      <c r="AR60" s="364"/>
      <c r="AS60" s="362">
        <f>AS11</f>
        <v>24</v>
      </c>
      <c r="AT60" s="363"/>
      <c r="AU60" s="364"/>
      <c r="AV60" s="362">
        <f>AV11</f>
        <v>26</v>
      </c>
      <c r="AW60" s="363"/>
      <c r="AX60" s="364"/>
      <c r="AY60" s="362">
        <f>AY11</f>
        <v>27</v>
      </c>
      <c r="AZ60" s="363"/>
      <c r="BA60" s="364"/>
      <c r="BB60" s="362">
        <f>BB11</f>
        <v>28</v>
      </c>
      <c r="BC60" s="363"/>
      <c r="BD60" s="364"/>
      <c r="BE60"/>
    </row>
    <row r="61" spans="1:57" ht="18.75" customHeight="1" thickTop="1" x14ac:dyDescent="0.2">
      <c r="A61" s="11"/>
      <c r="D61" s="11"/>
      <c r="E61" s="11"/>
      <c r="F61" s="11"/>
      <c r="G61" s="29"/>
      <c r="H61" s="365" t="s">
        <v>38</v>
      </c>
      <c r="I61" s="350"/>
      <c r="J61" s="351"/>
      <c r="K61" s="352"/>
      <c r="L61" s="350"/>
      <c r="M61" s="351"/>
      <c r="N61" s="352"/>
      <c r="O61" s="350"/>
      <c r="P61" s="351"/>
      <c r="Q61" s="352"/>
      <c r="R61" s="350"/>
      <c r="S61" s="351"/>
      <c r="T61" s="352"/>
      <c r="U61" s="350"/>
      <c r="V61" s="351"/>
      <c r="W61" s="352"/>
      <c r="X61" s="350"/>
      <c r="Y61" s="351"/>
      <c r="Z61" s="352"/>
      <c r="AA61" s="350"/>
      <c r="AB61" s="351"/>
      <c r="AC61" s="352"/>
      <c r="AD61" s="350"/>
      <c r="AE61" s="351"/>
      <c r="AF61" s="352"/>
      <c r="AG61" s="350"/>
      <c r="AH61" s="351"/>
      <c r="AI61" s="352"/>
      <c r="AJ61" s="350"/>
      <c r="AK61" s="351"/>
      <c r="AL61" s="352"/>
      <c r="AM61" s="350"/>
      <c r="AN61" s="351"/>
      <c r="AO61" s="352"/>
      <c r="AP61" s="350"/>
      <c r="AQ61" s="351"/>
      <c r="AR61" s="352"/>
      <c r="AS61" s="350"/>
      <c r="AT61" s="351"/>
      <c r="AU61" s="352"/>
      <c r="AV61" s="350"/>
      <c r="AW61" s="351"/>
      <c r="AX61" s="352"/>
      <c r="AY61" s="350"/>
      <c r="AZ61" s="351"/>
      <c r="BA61" s="352"/>
      <c r="BB61" s="350"/>
      <c r="BC61" s="351"/>
      <c r="BD61" s="352"/>
    </row>
    <row r="62" spans="1:57" ht="18.75" customHeight="1" x14ac:dyDescent="0.2">
      <c r="H62" s="366"/>
      <c r="I62" s="353"/>
      <c r="J62" s="354"/>
      <c r="K62" s="355"/>
      <c r="L62" s="353"/>
      <c r="M62" s="354"/>
      <c r="N62" s="355"/>
      <c r="O62" s="353"/>
      <c r="P62" s="354"/>
      <c r="Q62" s="355"/>
      <c r="R62" s="353"/>
      <c r="S62" s="354"/>
      <c r="T62" s="355"/>
      <c r="U62" s="353"/>
      <c r="V62" s="354"/>
      <c r="W62" s="355"/>
      <c r="X62" s="353"/>
      <c r="Y62" s="354"/>
      <c r="Z62" s="355"/>
      <c r="AA62" s="353"/>
      <c r="AB62" s="354"/>
      <c r="AC62" s="355"/>
      <c r="AD62" s="353"/>
      <c r="AE62" s="354"/>
      <c r="AF62" s="355"/>
      <c r="AG62" s="353"/>
      <c r="AH62" s="354"/>
      <c r="AI62" s="355"/>
      <c r="AJ62" s="353"/>
      <c r="AK62" s="354"/>
      <c r="AL62" s="355"/>
      <c r="AM62" s="353"/>
      <c r="AN62" s="354"/>
      <c r="AO62" s="355"/>
      <c r="AP62" s="353"/>
      <c r="AQ62" s="354"/>
      <c r="AR62" s="355"/>
      <c r="AS62" s="353"/>
      <c r="AT62" s="354"/>
      <c r="AU62" s="355"/>
      <c r="AV62" s="353"/>
      <c r="AW62" s="354"/>
      <c r="AX62" s="355"/>
      <c r="AY62" s="353"/>
      <c r="AZ62" s="354"/>
      <c r="BA62" s="355"/>
      <c r="BB62" s="353"/>
      <c r="BC62" s="354"/>
      <c r="BD62" s="355"/>
    </row>
    <row r="63" spans="1:57" ht="18.75" customHeight="1" x14ac:dyDescent="0.2">
      <c r="H63" s="366"/>
      <c r="I63" s="353"/>
      <c r="J63" s="354"/>
      <c r="K63" s="355"/>
      <c r="L63" s="353"/>
      <c r="M63" s="354"/>
      <c r="N63" s="355"/>
      <c r="O63" s="353"/>
      <c r="P63" s="354"/>
      <c r="Q63" s="355"/>
      <c r="R63" s="353"/>
      <c r="S63" s="354"/>
      <c r="T63" s="355"/>
      <c r="U63" s="353"/>
      <c r="V63" s="354"/>
      <c r="W63" s="355"/>
      <c r="X63" s="353"/>
      <c r="Y63" s="354"/>
      <c r="Z63" s="355"/>
      <c r="AA63" s="353"/>
      <c r="AB63" s="354"/>
      <c r="AC63" s="355"/>
      <c r="AD63" s="353"/>
      <c r="AE63" s="354"/>
      <c r="AF63" s="355"/>
      <c r="AG63" s="353"/>
      <c r="AH63" s="354"/>
      <c r="AI63" s="355"/>
      <c r="AJ63" s="353"/>
      <c r="AK63" s="354"/>
      <c r="AL63" s="355"/>
      <c r="AM63" s="353"/>
      <c r="AN63" s="354"/>
      <c r="AO63" s="355"/>
      <c r="AP63" s="353"/>
      <c r="AQ63" s="354"/>
      <c r="AR63" s="355"/>
      <c r="AS63" s="353"/>
      <c r="AT63" s="354"/>
      <c r="AU63" s="355"/>
      <c r="AV63" s="353"/>
      <c r="AW63" s="354"/>
      <c r="AX63" s="355"/>
      <c r="AY63" s="353"/>
      <c r="AZ63" s="354"/>
      <c r="BA63" s="355"/>
      <c r="BB63" s="353"/>
      <c r="BC63" s="354"/>
      <c r="BD63" s="355"/>
    </row>
    <row r="64" spans="1:57" ht="18.75" customHeight="1" thickBot="1" x14ac:dyDescent="0.25">
      <c r="H64" s="367"/>
      <c r="I64" s="356"/>
      <c r="J64" s="357"/>
      <c r="K64" s="358"/>
      <c r="L64" s="356"/>
      <c r="M64" s="357"/>
      <c r="N64" s="358"/>
      <c r="O64" s="356"/>
      <c r="P64" s="357"/>
      <c r="Q64" s="358"/>
      <c r="R64" s="356"/>
      <c r="S64" s="357"/>
      <c r="T64" s="358"/>
      <c r="U64" s="356"/>
      <c r="V64" s="357"/>
      <c r="W64" s="358"/>
      <c r="X64" s="356"/>
      <c r="Y64" s="357"/>
      <c r="Z64" s="358"/>
      <c r="AA64" s="356"/>
      <c r="AB64" s="357"/>
      <c r="AC64" s="358"/>
      <c r="AD64" s="356"/>
      <c r="AE64" s="357"/>
      <c r="AF64" s="358"/>
      <c r="AG64" s="356"/>
      <c r="AH64" s="357"/>
      <c r="AI64" s="358"/>
      <c r="AJ64" s="356"/>
      <c r="AK64" s="357"/>
      <c r="AL64" s="358"/>
      <c r="AM64" s="356"/>
      <c r="AN64" s="357"/>
      <c r="AO64" s="358"/>
      <c r="AP64" s="356"/>
      <c r="AQ64" s="357"/>
      <c r="AR64" s="358"/>
      <c r="AS64" s="356"/>
      <c r="AT64" s="357"/>
      <c r="AU64" s="358"/>
      <c r="AV64" s="356"/>
      <c r="AW64" s="357"/>
      <c r="AX64" s="358"/>
      <c r="AY64" s="356"/>
      <c r="AZ64" s="357"/>
      <c r="BA64" s="358"/>
      <c r="BB64" s="356"/>
      <c r="BC64" s="357"/>
      <c r="BD64" s="358"/>
    </row>
    <row r="65" spans="1:57" ht="18.75" customHeight="1" thickTop="1" x14ac:dyDescent="0.2">
      <c r="B65" s="2"/>
      <c r="C65" s="2"/>
      <c r="G65" s="2"/>
      <c r="H65" s="365" t="s">
        <v>84</v>
      </c>
      <c r="I65" s="350"/>
      <c r="J65" s="351"/>
      <c r="K65" s="352"/>
      <c r="L65" s="350" t="s">
        <v>202</v>
      </c>
      <c r="M65" s="351"/>
      <c r="N65" s="352"/>
      <c r="O65" s="350" t="s">
        <v>204</v>
      </c>
      <c r="P65" s="351"/>
      <c r="Q65" s="352"/>
      <c r="R65" s="350" t="s">
        <v>205</v>
      </c>
      <c r="S65" s="351"/>
      <c r="T65" s="352"/>
      <c r="U65" s="350"/>
      <c r="V65" s="351"/>
      <c r="W65" s="352"/>
      <c r="X65" s="350"/>
      <c r="Y65" s="351"/>
      <c r="Z65" s="352"/>
      <c r="AA65" s="350"/>
      <c r="AB65" s="351"/>
      <c r="AC65" s="352"/>
      <c r="AD65" s="350"/>
      <c r="AE65" s="351"/>
      <c r="AF65" s="352"/>
      <c r="AG65" s="350"/>
      <c r="AH65" s="351"/>
      <c r="AI65" s="352"/>
      <c r="AJ65" s="350"/>
      <c r="AK65" s="351"/>
      <c r="AL65" s="352"/>
      <c r="AM65" s="350"/>
      <c r="AN65" s="351"/>
      <c r="AO65" s="352"/>
      <c r="AP65" s="350"/>
      <c r="AQ65" s="351"/>
      <c r="AR65" s="352"/>
      <c r="AS65" s="350"/>
      <c r="AT65" s="351"/>
      <c r="AU65" s="352"/>
      <c r="AV65" s="350"/>
      <c r="AW65" s="351"/>
      <c r="AX65" s="352"/>
      <c r="AY65" s="350"/>
      <c r="AZ65" s="351"/>
      <c r="BA65" s="352"/>
      <c r="BB65" s="350" t="s">
        <v>203</v>
      </c>
      <c r="BC65" s="351"/>
      <c r="BD65" s="352"/>
    </row>
    <row r="66" spans="1:57" ht="18.75" customHeight="1" x14ac:dyDescent="0.2">
      <c r="H66" s="366"/>
      <c r="I66" s="353"/>
      <c r="J66" s="354"/>
      <c r="K66" s="355"/>
      <c r="L66" s="353"/>
      <c r="M66" s="354"/>
      <c r="N66" s="355"/>
      <c r="O66" s="353"/>
      <c r="P66" s="354"/>
      <c r="Q66" s="355"/>
      <c r="R66" s="353"/>
      <c r="S66" s="354"/>
      <c r="T66" s="355"/>
      <c r="U66" s="353"/>
      <c r="V66" s="354"/>
      <c r="W66" s="355"/>
      <c r="X66" s="353"/>
      <c r="Y66" s="354"/>
      <c r="Z66" s="355"/>
      <c r="AA66" s="353"/>
      <c r="AB66" s="354"/>
      <c r="AC66" s="355"/>
      <c r="AD66" s="353"/>
      <c r="AE66" s="354"/>
      <c r="AF66" s="355"/>
      <c r="AG66" s="353"/>
      <c r="AH66" s="354"/>
      <c r="AI66" s="355"/>
      <c r="AJ66" s="353"/>
      <c r="AK66" s="354"/>
      <c r="AL66" s="355"/>
      <c r="AM66" s="353"/>
      <c r="AN66" s="354"/>
      <c r="AO66" s="355"/>
      <c r="AP66" s="353"/>
      <c r="AQ66" s="354"/>
      <c r="AR66" s="355"/>
      <c r="AS66" s="353"/>
      <c r="AT66" s="354"/>
      <c r="AU66" s="355"/>
      <c r="AV66" s="353"/>
      <c r="AW66" s="354"/>
      <c r="AX66" s="355"/>
      <c r="AY66" s="353"/>
      <c r="AZ66" s="354"/>
      <c r="BA66" s="355"/>
      <c r="BB66" s="353"/>
      <c r="BC66" s="354"/>
      <c r="BD66" s="355"/>
    </row>
    <row r="67" spans="1:57" ht="18.75" customHeight="1" x14ac:dyDescent="0.2">
      <c r="H67" s="366"/>
      <c r="I67" s="353"/>
      <c r="J67" s="354"/>
      <c r="K67" s="355"/>
      <c r="L67" s="353"/>
      <c r="M67" s="354"/>
      <c r="N67" s="355"/>
      <c r="O67" s="353"/>
      <c r="P67" s="354"/>
      <c r="Q67" s="355"/>
      <c r="R67" s="353"/>
      <c r="S67" s="354"/>
      <c r="T67" s="355"/>
      <c r="U67" s="353"/>
      <c r="V67" s="354"/>
      <c r="W67" s="355"/>
      <c r="X67" s="353"/>
      <c r="Y67" s="354"/>
      <c r="Z67" s="355"/>
      <c r="AA67" s="353"/>
      <c r="AB67" s="354"/>
      <c r="AC67" s="355"/>
      <c r="AD67" s="353"/>
      <c r="AE67" s="354"/>
      <c r="AF67" s="355"/>
      <c r="AG67" s="353"/>
      <c r="AH67" s="354"/>
      <c r="AI67" s="355"/>
      <c r="AJ67" s="353"/>
      <c r="AK67" s="354"/>
      <c r="AL67" s="355"/>
      <c r="AM67" s="353"/>
      <c r="AN67" s="354"/>
      <c r="AO67" s="355"/>
      <c r="AP67" s="353"/>
      <c r="AQ67" s="354"/>
      <c r="AR67" s="355"/>
      <c r="AS67" s="353"/>
      <c r="AT67" s="354"/>
      <c r="AU67" s="355"/>
      <c r="AV67" s="353"/>
      <c r="AW67" s="354"/>
      <c r="AX67" s="355"/>
      <c r="AY67" s="353"/>
      <c r="AZ67" s="354"/>
      <c r="BA67" s="355"/>
      <c r="BB67" s="353"/>
      <c r="BC67" s="354"/>
      <c r="BD67" s="355"/>
    </row>
    <row r="68" spans="1:57" ht="18.75" customHeight="1" thickBot="1" x14ac:dyDescent="0.25">
      <c r="B68" s="2"/>
      <c r="C68" s="2"/>
      <c r="G68" s="2"/>
      <c r="H68" s="367"/>
      <c r="I68" s="356"/>
      <c r="J68" s="357"/>
      <c r="K68" s="358"/>
      <c r="L68" s="356"/>
      <c r="M68" s="357"/>
      <c r="N68" s="358"/>
      <c r="O68" s="356"/>
      <c r="P68" s="357"/>
      <c r="Q68" s="358"/>
      <c r="R68" s="356"/>
      <c r="S68" s="357"/>
      <c r="T68" s="358"/>
      <c r="U68" s="356"/>
      <c r="V68" s="357"/>
      <c r="W68" s="358"/>
      <c r="X68" s="356"/>
      <c r="Y68" s="357"/>
      <c r="Z68" s="358"/>
      <c r="AA68" s="356"/>
      <c r="AB68" s="357"/>
      <c r="AC68" s="358"/>
      <c r="AD68" s="356"/>
      <c r="AE68" s="357"/>
      <c r="AF68" s="358"/>
      <c r="AG68" s="356"/>
      <c r="AH68" s="357"/>
      <c r="AI68" s="358"/>
      <c r="AJ68" s="356"/>
      <c r="AK68" s="357"/>
      <c r="AL68" s="358"/>
      <c r="AM68" s="356"/>
      <c r="AN68" s="357"/>
      <c r="AO68" s="358"/>
      <c r="AP68" s="356"/>
      <c r="AQ68" s="357"/>
      <c r="AR68" s="358"/>
      <c r="AS68" s="356"/>
      <c r="AT68" s="357"/>
      <c r="AU68" s="358"/>
      <c r="AV68" s="356"/>
      <c r="AW68" s="357"/>
      <c r="AX68" s="358"/>
      <c r="AY68" s="356"/>
      <c r="AZ68" s="357"/>
      <c r="BA68" s="358"/>
      <c r="BB68" s="356"/>
      <c r="BC68" s="357"/>
      <c r="BD68" s="358"/>
    </row>
    <row r="69" spans="1:57" s="191" customFormat="1" ht="13.5" thickTop="1"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row>
    <row r="70" spans="1:57" x14ac:dyDescent="0.2">
      <c r="L70" s="12"/>
      <c r="M70" s="12"/>
      <c r="N70" s="16"/>
      <c r="O70" s="12"/>
      <c r="P70" s="12"/>
      <c r="Q70" s="16"/>
      <c r="R70" s="12"/>
      <c r="S70" s="12"/>
      <c r="T70" s="16"/>
      <c r="U70" s="12"/>
      <c r="V70" s="12"/>
      <c r="W70" s="16"/>
      <c r="X70" s="12"/>
      <c r="Y70" s="12"/>
      <c r="Z70" s="16"/>
      <c r="AA70" s="12"/>
      <c r="AB70" s="12"/>
      <c r="AC70" s="16"/>
      <c r="AD70" s="12"/>
      <c r="AE70" s="12"/>
      <c r="AF70" s="16"/>
      <c r="AG70" s="12"/>
      <c r="AH70" s="12"/>
      <c r="AI70" s="16"/>
      <c r="AJ70" s="12"/>
      <c r="AK70" s="12"/>
      <c r="AL70" s="16"/>
      <c r="AM70" s="12"/>
      <c r="AN70" s="12"/>
      <c r="AO70" s="16"/>
      <c r="AP70" s="16"/>
      <c r="AQ70" s="16"/>
      <c r="AR70" s="16"/>
      <c r="AS70" s="16"/>
      <c r="AT70" s="16"/>
      <c r="AU70" s="16"/>
      <c r="AV70" s="16"/>
      <c r="AW70" s="16"/>
      <c r="AX70" s="16"/>
      <c r="AY70" s="16"/>
      <c r="AZ70" s="16"/>
      <c r="BA70" s="16"/>
      <c r="BB70" s="16"/>
      <c r="BC70" s="16"/>
      <c r="BD70" s="16"/>
    </row>
    <row r="71" spans="1:57" x14ac:dyDescent="0.2">
      <c r="L71" s="12"/>
      <c r="M71" s="12"/>
      <c r="N71" s="16"/>
      <c r="O71" s="12"/>
      <c r="P71" s="12"/>
      <c r="Q71" s="16"/>
      <c r="R71" s="12"/>
      <c r="S71" s="12"/>
      <c r="T71" s="16"/>
      <c r="U71" s="12"/>
      <c r="V71" s="12"/>
      <c r="W71" s="16"/>
      <c r="X71" s="12"/>
      <c r="Y71" s="12"/>
      <c r="Z71" s="16"/>
      <c r="AA71" s="12"/>
      <c r="AB71" s="12"/>
      <c r="AC71" s="16"/>
      <c r="AD71" s="12"/>
      <c r="AE71" s="12"/>
      <c r="AF71" s="16"/>
      <c r="AG71" s="12"/>
      <c r="AH71" s="12"/>
      <c r="AI71" s="16"/>
      <c r="AJ71" s="12"/>
      <c r="AK71" s="12"/>
      <c r="AL71" s="16"/>
      <c r="AM71" s="12"/>
      <c r="AN71" s="12"/>
      <c r="AO71" s="16"/>
      <c r="AP71" s="16"/>
      <c r="AQ71" s="16"/>
      <c r="AR71" s="16"/>
      <c r="AS71" s="16"/>
      <c r="AT71" s="16"/>
      <c r="AU71" s="16"/>
      <c r="AV71" s="16"/>
      <c r="AW71" s="16"/>
      <c r="AX71" s="16"/>
      <c r="AY71" s="16"/>
      <c r="AZ71" s="16"/>
      <c r="BA71" s="16"/>
      <c r="BB71" s="16"/>
      <c r="BC71" s="16"/>
      <c r="BD71" s="16"/>
    </row>
    <row r="72" spans="1:57" x14ac:dyDescent="0.2">
      <c r="J72" s="212"/>
      <c r="L72" s="12"/>
      <c r="M72" s="12"/>
      <c r="N72" s="16"/>
      <c r="O72" s="12"/>
      <c r="P72" s="12"/>
      <c r="Q72" s="16"/>
      <c r="R72" s="12"/>
      <c r="S72" s="12"/>
      <c r="T72" s="16"/>
      <c r="U72" s="12"/>
      <c r="V72" s="12"/>
      <c r="W72" s="16"/>
      <c r="X72" s="12"/>
      <c r="Y72" s="12"/>
      <c r="Z72" s="16"/>
      <c r="AA72" s="12"/>
      <c r="AB72" s="12"/>
      <c r="AC72" s="16"/>
      <c r="AD72" s="12"/>
      <c r="AE72" s="12"/>
      <c r="AF72" s="16"/>
      <c r="AG72" s="12"/>
      <c r="AH72" s="12"/>
      <c r="AI72" s="16"/>
      <c r="AJ72" s="12"/>
      <c r="AK72" s="12"/>
      <c r="AL72" s="16"/>
      <c r="AM72" s="12"/>
      <c r="AN72" s="12"/>
      <c r="AO72" s="16"/>
      <c r="AP72" s="16"/>
      <c r="AQ72" s="16"/>
      <c r="AR72" s="16"/>
      <c r="AS72" s="16"/>
      <c r="AT72" s="16"/>
      <c r="AU72" s="16"/>
      <c r="AV72" s="16"/>
      <c r="AW72" s="16"/>
      <c r="AX72" s="16"/>
      <c r="AY72" s="16"/>
      <c r="AZ72" s="16"/>
      <c r="BA72" s="16"/>
      <c r="BB72" s="16"/>
      <c r="BC72" s="16"/>
      <c r="BD72" s="16"/>
    </row>
    <row r="73" spans="1:57" x14ac:dyDescent="0.2">
      <c r="L73" s="12"/>
      <c r="M73" s="12"/>
      <c r="N73" s="16"/>
      <c r="O73" s="12"/>
      <c r="P73" s="12"/>
      <c r="Q73" s="16"/>
      <c r="R73" s="12"/>
      <c r="S73" s="12"/>
      <c r="T73" s="16"/>
      <c r="U73" s="12"/>
      <c r="V73" s="12"/>
      <c r="W73" s="16"/>
      <c r="X73" s="12"/>
      <c r="Y73" s="12"/>
      <c r="Z73" s="16"/>
      <c r="AA73" s="12"/>
      <c r="AB73" s="12"/>
      <c r="AC73" s="16"/>
      <c r="AD73" s="12"/>
      <c r="AE73" s="12"/>
      <c r="AF73" s="16"/>
      <c r="AG73" s="12"/>
      <c r="AH73" s="12"/>
      <c r="AI73" s="16"/>
      <c r="AJ73" s="12"/>
      <c r="AK73" s="12"/>
      <c r="AL73" s="16"/>
      <c r="AM73" s="12"/>
      <c r="AN73" s="12"/>
      <c r="AO73" s="16"/>
      <c r="AP73" s="16"/>
      <c r="AQ73" s="16"/>
      <c r="AR73" s="16"/>
      <c r="AS73" s="16"/>
      <c r="AT73" s="16"/>
      <c r="AU73" s="16"/>
      <c r="AV73" s="16"/>
      <c r="AW73" s="16"/>
      <c r="AX73" s="16"/>
      <c r="AY73" s="16"/>
      <c r="AZ73" s="16"/>
      <c r="BA73" s="16"/>
      <c r="BB73" s="16"/>
      <c r="BC73" s="16"/>
      <c r="BD73" s="16"/>
    </row>
    <row r="74" spans="1:57" x14ac:dyDescent="0.2">
      <c r="L74" s="12"/>
      <c r="M74" s="12"/>
      <c r="N74" s="16"/>
      <c r="O74" s="12"/>
      <c r="P74" s="12"/>
      <c r="Q74" s="16"/>
      <c r="R74" s="12"/>
      <c r="S74" s="12"/>
      <c r="T74" s="16"/>
      <c r="U74" s="12"/>
      <c r="V74" s="12"/>
      <c r="W74" s="16"/>
      <c r="X74" s="12"/>
      <c r="Y74" s="12"/>
      <c r="Z74" s="16"/>
      <c r="AA74" s="12"/>
      <c r="AB74" s="12"/>
      <c r="AC74" s="16"/>
      <c r="AD74" s="12"/>
      <c r="AE74" s="12"/>
      <c r="AF74" s="16"/>
      <c r="AG74" s="12"/>
      <c r="AH74" s="12"/>
      <c r="AI74" s="16"/>
      <c r="AJ74" s="12"/>
      <c r="AK74" s="12"/>
      <c r="AL74" s="16"/>
      <c r="AM74" s="12"/>
      <c r="AN74" s="12"/>
      <c r="AO74" s="16"/>
      <c r="AP74" s="16"/>
      <c r="AQ74" s="16"/>
      <c r="AR74" s="16"/>
      <c r="AS74" s="16"/>
      <c r="AT74" s="16"/>
      <c r="AU74" s="16"/>
      <c r="AV74" s="16"/>
      <c r="AW74" s="16"/>
      <c r="AX74" s="16"/>
      <c r="AY74" s="16"/>
      <c r="AZ74" s="16"/>
      <c r="BA74" s="16"/>
      <c r="BB74" s="16"/>
      <c r="BC74" s="16"/>
      <c r="BD74" s="16"/>
    </row>
    <row r="75" spans="1:57" x14ac:dyDescent="0.2">
      <c r="L75" s="12"/>
      <c r="M75" s="12"/>
      <c r="N75" s="16"/>
      <c r="O75" s="12"/>
      <c r="P75" s="12"/>
      <c r="Q75" s="16"/>
      <c r="R75" s="12"/>
      <c r="S75" s="12"/>
      <c r="T75" s="16"/>
      <c r="U75" s="12"/>
      <c r="V75" s="12"/>
      <c r="W75" s="16"/>
      <c r="X75" s="12"/>
      <c r="Y75" s="12"/>
      <c r="Z75" s="16"/>
      <c r="AA75" s="12"/>
      <c r="AB75" s="12"/>
      <c r="AC75" s="16"/>
      <c r="AD75" s="12"/>
      <c r="AE75" s="12"/>
      <c r="AF75" s="16"/>
      <c r="AG75" s="12"/>
      <c r="AH75" s="12"/>
      <c r="AI75" s="16"/>
      <c r="AJ75" s="12"/>
      <c r="AK75" s="12"/>
      <c r="AL75" s="16"/>
      <c r="AM75" s="12"/>
      <c r="AN75" s="12"/>
      <c r="AO75" s="16"/>
      <c r="AP75" s="16"/>
      <c r="AQ75" s="16"/>
      <c r="AR75" s="16"/>
      <c r="AS75" s="16"/>
      <c r="AT75" s="16"/>
      <c r="AU75" s="16"/>
      <c r="AV75" s="16"/>
      <c r="AW75" s="16"/>
      <c r="AX75" s="16"/>
      <c r="AY75" s="16"/>
      <c r="AZ75" s="16"/>
      <c r="BA75" s="16"/>
      <c r="BB75" s="16"/>
      <c r="BC75" s="16"/>
      <c r="BD75" s="16"/>
    </row>
    <row r="76" spans="1:57" x14ac:dyDescent="0.2">
      <c r="L76" s="12"/>
      <c r="M76" s="12"/>
      <c r="N76" s="16"/>
      <c r="O76" s="12"/>
      <c r="P76" s="12"/>
      <c r="Q76" s="16"/>
      <c r="R76" s="12"/>
      <c r="S76" s="12"/>
      <c r="T76" s="16"/>
      <c r="U76" s="12"/>
      <c r="V76" s="12"/>
      <c r="W76" s="16"/>
      <c r="X76" s="12"/>
      <c r="Y76" s="12"/>
      <c r="Z76" s="16"/>
      <c r="AA76" s="12"/>
      <c r="AB76" s="12"/>
      <c r="AC76" s="16"/>
      <c r="AD76" s="12"/>
      <c r="AE76" s="12"/>
      <c r="AF76" s="16"/>
      <c r="AG76" s="12"/>
      <c r="AH76" s="12"/>
      <c r="AI76" s="16"/>
      <c r="AJ76" s="12"/>
      <c r="AK76" s="12"/>
      <c r="AL76" s="16"/>
      <c r="AM76" s="12"/>
      <c r="AN76" s="12"/>
      <c r="AO76" s="16"/>
      <c r="AP76" s="16"/>
      <c r="AQ76" s="16"/>
      <c r="AR76" s="16"/>
      <c r="AS76" s="16"/>
      <c r="AT76" s="16"/>
      <c r="AU76" s="16"/>
      <c r="AV76" s="16"/>
      <c r="AW76" s="16"/>
      <c r="AX76" s="16"/>
      <c r="AY76" s="16"/>
      <c r="AZ76" s="16"/>
      <c r="BA76" s="16"/>
      <c r="BB76" s="16"/>
      <c r="BC76" s="16"/>
      <c r="BD76" s="16"/>
    </row>
    <row r="77" spans="1:57" x14ac:dyDescent="0.2">
      <c r="L77" s="12"/>
      <c r="M77" s="12"/>
      <c r="N77" s="16"/>
      <c r="O77" s="12"/>
      <c r="P77" s="12"/>
      <c r="Q77" s="16"/>
      <c r="R77" s="12"/>
      <c r="S77" s="12"/>
      <c r="T77" s="16"/>
      <c r="U77" s="12"/>
      <c r="V77" s="12"/>
      <c r="W77" s="16"/>
      <c r="X77" s="12"/>
      <c r="Y77" s="12"/>
      <c r="Z77" s="16"/>
      <c r="AA77" s="12"/>
      <c r="AB77" s="12"/>
      <c r="AC77" s="16"/>
      <c r="AD77" s="12"/>
      <c r="AE77" s="12"/>
      <c r="AF77" s="16"/>
      <c r="AG77" s="12"/>
      <c r="AH77" s="12"/>
      <c r="AI77" s="16"/>
      <c r="AJ77" s="12"/>
      <c r="AK77" s="12"/>
      <c r="AL77" s="16"/>
      <c r="AM77" s="12"/>
      <c r="AN77" s="12"/>
      <c r="AO77" s="16"/>
      <c r="AP77" s="16"/>
      <c r="AQ77" s="16"/>
      <c r="AR77" s="16"/>
      <c r="AS77" s="16"/>
      <c r="AT77" s="16"/>
      <c r="AU77" s="16"/>
      <c r="AV77" s="16"/>
      <c r="AW77" s="16"/>
      <c r="AX77" s="16"/>
      <c r="AY77" s="16"/>
      <c r="AZ77" s="16"/>
      <c r="BA77" s="16"/>
      <c r="BB77" s="16"/>
      <c r="BC77" s="16"/>
      <c r="BD77" s="16"/>
    </row>
    <row r="78" spans="1:57" x14ac:dyDescent="0.2">
      <c r="L78" s="12"/>
      <c r="M78" s="12"/>
      <c r="N78" s="16"/>
      <c r="O78" s="12"/>
      <c r="P78" s="12"/>
      <c r="Q78" s="16"/>
      <c r="R78" s="12"/>
      <c r="S78" s="12"/>
      <c r="T78" s="16"/>
      <c r="U78" s="12"/>
      <c r="V78" s="12"/>
      <c r="W78" s="16"/>
      <c r="X78" s="12"/>
      <c r="Y78" s="12"/>
      <c r="Z78" s="16"/>
      <c r="AA78" s="12"/>
      <c r="AB78" s="12"/>
      <c r="AC78" s="16"/>
      <c r="AD78" s="12"/>
      <c r="AE78" s="12"/>
      <c r="AF78" s="16"/>
      <c r="AG78" s="12"/>
      <c r="AH78" s="12"/>
      <c r="AI78" s="16"/>
      <c r="AJ78" s="12"/>
      <c r="AK78" s="12"/>
      <c r="AL78" s="16"/>
      <c r="AM78" s="12"/>
      <c r="AN78" s="12"/>
      <c r="AO78" s="16"/>
      <c r="AP78" s="16"/>
      <c r="AQ78" s="16"/>
      <c r="AR78" s="16"/>
      <c r="AS78" s="16"/>
      <c r="AT78" s="16"/>
      <c r="AU78" s="16"/>
      <c r="AV78" s="16"/>
      <c r="AW78" s="16"/>
      <c r="AX78" s="16"/>
      <c r="AY78" s="16"/>
      <c r="AZ78" s="16"/>
      <c r="BA78" s="16"/>
      <c r="BB78" s="16"/>
      <c r="BC78" s="16"/>
      <c r="BD78" s="16"/>
    </row>
    <row r="79" spans="1:57" x14ac:dyDescent="0.2">
      <c r="L79" s="12"/>
      <c r="M79" s="12"/>
      <c r="N79" s="16"/>
      <c r="O79" s="12"/>
      <c r="P79" s="12"/>
      <c r="Q79" s="16"/>
      <c r="R79" s="12"/>
      <c r="S79" s="12"/>
      <c r="T79" s="16"/>
      <c r="U79" s="12"/>
      <c r="V79" s="12"/>
      <c r="W79" s="16"/>
      <c r="X79" s="12"/>
      <c r="Y79" s="12"/>
      <c r="Z79" s="16"/>
      <c r="AA79" s="12"/>
      <c r="AB79" s="12"/>
      <c r="AC79" s="16"/>
      <c r="AD79" s="12"/>
      <c r="AE79" s="12"/>
      <c r="AF79" s="16"/>
      <c r="AG79" s="12"/>
      <c r="AH79" s="12"/>
      <c r="AI79" s="16"/>
      <c r="AJ79" s="12"/>
      <c r="AK79" s="12"/>
      <c r="AL79" s="16"/>
      <c r="AM79" s="12"/>
      <c r="AN79" s="12"/>
      <c r="AO79" s="16"/>
      <c r="AP79" s="16"/>
      <c r="AQ79" s="16"/>
      <c r="AR79" s="16"/>
      <c r="AS79" s="16"/>
      <c r="AT79" s="16"/>
      <c r="AU79" s="16"/>
      <c r="AV79" s="16"/>
      <c r="AW79" s="16"/>
      <c r="AX79" s="16"/>
      <c r="AY79" s="16"/>
      <c r="AZ79" s="16"/>
      <c r="BA79" s="16"/>
      <c r="BB79" s="16"/>
      <c r="BC79" s="16"/>
      <c r="BD79" s="16"/>
    </row>
    <row r="80" spans="1:57" x14ac:dyDescent="0.2">
      <c r="L80" s="12"/>
      <c r="M80" s="12"/>
      <c r="N80" s="16"/>
      <c r="O80" s="12"/>
      <c r="P80" s="12"/>
      <c r="Q80" s="16"/>
      <c r="R80" s="12"/>
      <c r="S80" s="12"/>
      <c r="T80" s="16"/>
      <c r="U80" s="12"/>
      <c r="V80" s="12"/>
      <c r="W80" s="16"/>
      <c r="X80" s="12"/>
      <c r="Y80" s="12"/>
      <c r="Z80" s="16"/>
      <c r="AA80" s="12"/>
      <c r="AB80" s="12"/>
      <c r="AC80" s="16"/>
      <c r="AD80" s="12"/>
      <c r="AE80" s="12"/>
      <c r="AF80" s="16"/>
      <c r="AG80" s="12"/>
      <c r="AH80" s="12"/>
      <c r="AI80" s="16"/>
      <c r="AJ80" s="12"/>
      <c r="AK80" s="12"/>
      <c r="AL80" s="16"/>
      <c r="AM80" s="12"/>
      <c r="AN80" s="12"/>
      <c r="AO80" s="16"/>
      <c r="AP80" s="16"/>
      <c r="AQ80" s="16"/>
      <c r="AR80" s="16"/>
      <c r="AS80" s="16"/>
      <c r="AT80" s="16"/>
      <c r="AU80" s="16"/>
      <c r="AV80" s="16"/>
      <c r="AW80" s="16"/>
      <c r="AX80" s="16"/>
      <c r="AY80" s="16"/>
      <c r="AZ80" s="16"/>
      <c r="BA80" s="16"/>
      <c r="BB80" s="16"/>
      <c r="BC80" s="16"/>
      <c r="BD80" s="16"/>
    </row>
    <row r="81" spans="12:56" x14ac:dyDescent="0.2">
      <c r="L81" s="12"/>
      <c r="M81" s="12"/>
      <c r="N81" s="16"/>
      <c r="O81" s="12"/>
      <c r="P81" s="12"/>
      <c r="Q81" s="16"/>
      <c r="R81" s="12"/>
      <c r="S81" s="12"/>
      <c r="T81" s="16"/>
      <c r="U81" s="12"/>
      <c r="V81" s="12"/>
      <c r="W81" s="16"/>
      <c r="X81" s="12"/>
      <c r="Y81" s="12"/>
      <c r="Z81" s="16"/>
      <c r="AA81" s="12"/>
      <c r="AB81" s="12"/>
      <c r="AC81" s="16"/>
      <c r="AD81" s="12"/>
      <c r="AE81" s="12"/>
      <c r="AF81" s="16"/>
      <c r="AG81" s="12"/>
      <c r="AH81" s="12"/>
      <c r="AI81" s="16"/>
      <c r="AJ81" s="12"/>
      <c r="AK81" s="12"/>
      <c r="AL81" s="16"/>
      <c r="AM81" s="12"/>
      <c r="AN81" s="12"/>
      <c r="AO81" s="16"/>
      <c r="AP81" s="16"/>
      <c r="AQ81" s="16"/>
      <c r="AR81" s="16"/>
      <c r="AS81" s="16"/>
      <c r="AT81" s="16"/>
      <c r="AU81" s="16"/>
      <c r="AV81" s="16"/>
      <c r="AW81" s="16"/>
      <c r="AX81" s="16"/>
      <c r="AY81" s="16"/>
      <c r="AZ81" s="16"/>
      <c r="BA81" s="16"/>
      <c r="BB81" s="16"/>
      <c r="BC81" s="16"/>
      <c r="BD81" s="16"/>
    </row>
    <row r="82" spans="12:56" x14ac:dyDescent="0.2">
      <c r="L82" s="12"/>
      <c r="M82" s="12"/>
      <c r="N82" s="16"/>
      <c r="O82" s="12"/>
      <c r="P82" s="12"/>
      <c r="Q82" s="16"/>
      <c r="R82" s="12"/>
      <c r="S82" s="12"/>
      <c r="T82" s="16"/>
      <c r="U82" s="12"/>
      <c r="V82" s="12"/>
      <c r="W82" s="16"/>
      <c r="X82" s="12"/>
      <c r="Y82" s="12"/>
      <c r="Z82" s="16"/>
      <c r="AA82" s="12"/>
      <c r="AB82" s="12"/>
      <c r="AC82" s="16"/>
      <c r="AD82" s="12"/>
      <c r="AE82" s="12"/>
      <c r="AF82" s="16"/>
      <c r="AG82" s="12"/>
      <c r="AH82" s="12"/>
      <c r="AI82" s="16"/>
      <c r="AJ82" s="12"/>
      <c r="AK82" s="12"/>
      <c r="AL82" s="16"/>
      <c r="AM82" s="12"/>
      <c r="AN82" s="12"/>
      <c r="AO82" s="16"/>
      <c r="AP82" s="16"/>
      <c r="AQ82" s="16"/>
      <c r="AR82" s="16"/>
      <c r="AS82" s="16"/>
      <c r="AT82" s="16"/>
      <c r="AU82" s="16"/>
      <c r="AV82" s="16"/>
      <c r="AW82" s="16"/>
      <c r="AX82" s="16"/>
      <c r="AY82" s="16"/>
      <c r="AZ82" s="16"/>
      <c r="BA82" s="16"/>
      <c r="BB82" s="16"/>
      <c r="BC82" s="16"/>
      <c r="BD82" s="16"/>
    </row>
    <row r="83" spans="12:56" x14ac:dyDescent="0.2">
      <c r="L83" s="12"/>
      <c r="M83" s="12"/>
      <c r="N83" s="16"/>
      <c r="O83" s="12"/>
      <c r="P83" s="12"/>
      <c r="Q83" s="16"/>
      <c r="R83" s="12"/>
      <c r="S83" s="12"/>
      <c r="T83" s="16"/>
      <c r="U83" s="12"/>
      <c r="V83" s="12"/>
      <c r="W83" s="16"/>
      <c r="X83" s="12"/>
      <c r="Y83" s="12"/>
      <c r="Z83" s="16"/>
      <c r="AA83" s="12"/>
      <c r="AB83" s="12"/>
      <c r="AC83" s="16"/>
      <c r="AD83" s="12"/>
      <c r="AE83" s="12"/>
      <c r="AF83" s="16"/>
      <c r="AG83" s="12"/>
      <c r="AH83" s="12"/>
      <c r="AI83" s="16"/>
      <c r="AJ83" s="12"/>
      <c r="AK83" s="12"/>
      <c r="AL83" s="16"/>
      <c r="AM83" s="12"/>
      <c r="AN83" s="12"/>
      <c r="AO83" s="16"/>
      <c r="AP83" s="16"/>
      <c r="AQ83" s="16"/>
      <c r="AR83" s="16"/>
      <c r="AS83" s="16"/>
      <c r="AT83" s="16"/>
      <c r="AU83" s="16"/>
      <c r="AV83" s="16"/>
      <c r="AW83" s="16"/>
      <c r="AX83" s="16"/>
      <c r="AY83" s="16"/>
      <c r="AZ83" s="16"/>
      <c r="BA83" s="16"/>
      <c r="BB83" s="16"/>
      <c r="BC83" s="16"/>
      <c r="BD83" s="16"/>
    </row>
    <row r="84" spans="12:56" x14ac:dyDescent="0.2">
      <c r="L84" s="12"/>
      <c r="M84" s="12"/>
      <c r="N84" s="16"/>
      <c r="O84" s="12"/>
      <c r="P84" s="12"/>
      <c r="Q84" s="16"/>
      <c r="R84" s="12"/>
      <c r="S84" s="12"/>
      <c r="T84" s="16"/>
      <c r="U84" s="12"/>
      <c r="V84" s="12"/>
      <c r="W84" s="16"/>
      <c r="X84" s="12"/>
      <c r="Y84" s="12"/>
      <c r="Z84" s="16"/>
      <c r="AA84" s="12"/>
      <c r="AB84" s="12"/>
      <c r="AC84" s="16"/>
      <c r="AD84" s="12"/>
      <c r="AE84" s="12"/>
      <c r="AF84" s="16"/>
      <c r="AG84" s="12"/>
      <c r="AH84" s="12"/>
      <c r="AI84" s="16"/>
      <c r="AJ84" s="12"/>
      <c r="AK84" s="12"/>
      <c r="AL84" s="16"/>
      <c r="AM84" s="12"/>
      <c r="AN84" s="12"/>
      <c r="AO84" s="16"/>
      <c r="AP84" s="16"/>
      <c r="AQ84" s="16"/>
      <c r="AR84" s="16"/>
      <c r="AS84" s="16"/>
      <c r="AT84" s="16"/>
      <c r="AU84" s="16"/>
      <c r="AV84" s="16"/>
      <c r="AW84" s="16"/>
      <c r="AX84" s="16"/>
      <c r="AY84" s="16"/>
      <c r="AZ84" s="16"/>
      <c r="BA84" s="16"/>
      <c r="BB84" s="16"/>
      <c r="BC84" s="16"/>
      <c r="BD84" s="16"/>
    </row>
    <row r="85" spans="12:56" x14ac:dyDescent="0.2">
      <c r="L85" s="12"/>
      <c r="M85" s="12"/>
      <c r="N85" s="16"/>
      <c r="O85" s="12"/>
      <c r="P85" s="12"/>
      <c r="Q85" s="16"/>
      <c r="R85" s="12"/>
      <c r="S85" s="12"/>
      <c r="T85" s="16"/>
      <c r="U85" s="12"/>
      <c r="V85" s="12"/>
      <c r="W85" s="16"/>
      <c r="X85" s="12"/>
      <c r="Y85" s="12"/>
      <c r="Z85" s="16"/>
      <c r="AA85" s="12"/>
      <c r="AB85" s="12"/>
      <c r="AC85" s="16"/>
      <c r="AD85" s="12"/>
      <c r="AE85" s="12"/>
      <c r="AF85" s="16"/>
      <c r="AG85" s="12"/>
      <c r="AH85" s="12"/>
      <c r="AI85" s="16"/>
      <c r="AJ85" s="12"/>
      <c r="AK85" s="12"/>
      <c r="AL85" s="16"/>
      <c r="AM85" s="12"/>
      <c r="AN85" s="12"/>
      <c r="AO85" s="16"/>
      <c r="AP85" s="16"/>
      <c r="AQ85" s="16"/>
      <c r="AR85" s="16"/>
      <c r="AS85" s="16"/>
      <c r="AT85" s="16"/>
      <c r="AU85" s="16"/>
      <c r="AV85" s="16"/>
      <c r="AW85" s="16"/>
      <c r="AX85" s="16"/>
      <c r="AY85" s="16"/>
      <c r="AZ85" s="16"/>
      <c r="BA85" s="16"/>
      <c r="BB85" s="16"/>
      <c r="BC85" s="16"/>
      <c r="BD85" s="16"/>
    </row>
    <row r="86" spans="12:56" x14ac:dyDescent="0.2">
      <c r="L86" s="12"/>
      <c r="M86" s="12"/>
      <c r="N86" s="16"/>
      <c r="O86" s="12"/>
      <c r="P86" s="12"/>
      <c r="Q86" s="16"/>
      <c r="R86" s="12"/>
      <c r="S86" s="12"/>
      <c r="T86" s="16"/>
      <c r="U86" s="12"/>
      <c r="V86" s="12"/>
      <c r="W86" s="16"/>
      <c r="X86" s="12"/>
      <c r="Y86" s="12"/>
      <c r="Z86" s="16"/>
      <c r="AA86" s="12"/>
      <c r="AB86" s="12"/>
      <c r="AC86" s="16"/>
      <c r="AD86" s="12"/>
      <c r="AE86" s="12"/>
      <c r="AF86" s="16"/>
      <c r="AG86" s="12"/>
      <c r="AH86" s="12"/>
      <c r="AI86" s="16"/>
      <c r="AJ86" s="12"/>
      <c r="AK86" s="12"/>
      <c r="AL86" s="16"/>
      <c r="AM86" s="12"/>
      <c r="AN86" s="12"/>
      <c r="AO86" s="16"/>
      <c r="AP86" s="16"/>
      <c r="AQ86" s="16"/>
      <c r="AR86" s="16"/>
      <c r="AS86" s="16"/>
      <c r="AT86" s="16"/>
      <c r="AU86" s="16"/>
      <c r="AV86" s="16"/>
      <c r="AW86" s="16"/>
      <c r="AX86" s="16"/>
      <c r="AY86" s="16"/>
      <c r="AZ86" s="16"/>
      <c r="BA86" s="16"/>
      <c r="BB86" s="16"/>
      <c r="BC86" s="16"/>
      <c r="BD86" s="16"/>
    </row>
    <row r="87" spans="12:56" x14ac:dyDescent="0.2">
      <c r="L87" s="12"/>
      <c r="M87" s="12"/>
      <c r="N87" s="16"/>
      <c r="O87" s="12"/>
      <c r="P87" s="12"/>
      <c r="Q87" s="16"/>
      <c r="R87" s="12"/>
      <c r="S87" s="12"/>
      <c r="T87" s="16"/>
      <c r="U87" s="12"/>
      <c r="V87" s="12"/>
      <c r="W87" s="16"/>
      <c r="X87" s="12"/>
      <c r="Y87" s="12"/>
      <c r="Z87" s="16"/>
      <c r="AA87" s="12"/>
      <c r="AB87" s="12"/>
      <c r="AC87" s="16"/>
      <c r="AD87" s="12"/>
      <c r="AE87" s="12"/>
      <c r="AF87" s="16"/>
      <c r="AG87" s="12"/>
      <c r="AH87" s="12"/>
      <c r="AI87" s="16"/>
      <c r="AJ87" s="12"/>
      <c r="AK87" s="12"/>
      <c r="AL87" s="16"/>
      <c r="AM87" s="12"/>
      <c r="AN87" s="12"/>
      <c r="AO87" s="16"/>
      <c r="AP87" s="16"/>
      <c r="AQ87" s="16"/>
      <c r="AR87" s="16"/>
      <c r="AS87" s="16"/>
      <c r="AT87" s="16"/>
      <c r="AU87" s="16"/>
      <c r="AV87" s="16"/>
      <c r="AW87" s="16"/>
      <c r="AX87" s="16"/>
      <c r="AY87" s="16"/>
      <c r="AZ87" s="16"/>
      <c r="BA87" s="16"/>
      <c r="BB87" s="16"/>
      <c r="BC87" s="16"/>
      <c r="BD87" s="16"/>
    </row>
    <row r="88" spans="12:56" x14ac:dyDescent="0.2">
      <c r="L88" s="12"/>
      <c r="M88" s="12"/>
      <c r="N88" s="16"/>
      <c r="O88" s="12"/>
      <c r="P88" s="12"/>
      <c r="Q88" s="16"/>
      <c r="R88" s="12"/>
      <c r="S88" s="12"/>
      <c r="T88" s="16"/>
      <c r="U88" s="12"/>
      <c r="V88" s="12"/>
      <c r="W88" s="16"/>
      <c r="X88" s="12"/>
      <c r="Y88" s="12"/>
      <c r="Z88" s="16"/>
      <c r="AA88" s="12"/>
      <c r="AB88" s="12"/>
      <c r="AC88" s="16"/>
      <c r="AD88" s="12"/>
      <c r="AE88" s="12"/>
      <c r="AF88" s="16"/>
      <c r="AG88" s="12"/>
      <c r="AH88" s="12"/>
      <c r="AI88" s="16"/>
      <c r="AJ88" s="12"/>
      <c r="AK88" s="12"/>
      <c r="AL88" s="16"/>
      <c r="AM88" s="12"/>
      <c r="AN88" s="12"/>
      <c r="AO88" s="16"/>
      <c r="AP88" s="16"/>
      <c r="AQ88" s="16"/>
      <c r="AR88" s="16"/>
      <c r="AS88" s="16"/>
      <c r="AT88" s="16"/>
      <c r="AU88" s="16"/>
      <c r="AV88" s="16"/>
      <c r="AW88" s="16"/>
      <c r="AX88" s="16"/>
      <c r="AY88" s="16"/>
      <c r="AZ88" s="16"/>
      <c r="BA88" s="16"/>
      <c r="BB88" s="16"/>
      <c r="BC88" s="16"/>
      <c r="BD88" s="16"/>
    </row>
    <row r="89" spans="12:56" x14ac:dyDescent="0.2">
      <c r="L89" s="12"/>
      <c r="M89" s="12"/>
      <c r="N89" s="16"/>
      <c r="O89" s="12"/>
      <c r="P89" s="12"/>
      <c r="Q89" s="16"/>
      <c r="R89" s="12"/>
      <c r="S89" s="12"/>
      <c r="T89" s="16"/>
      <c r="U89" s="12"/>
      <c r="V89" s="12"/>
      <c r="W89" s="16"/>
      <c r="X89" s="12"/>
      <c r="Y89" s="12"/>
      <c r="Z89" s="16"/>
      <c r="AA89" s="12"/>
      <c r="AB89" s="12"/>
      <c r="AC89" s="16"/>
      <c r="AD89" s="12"/>
      <c r="AE89" s="12"/>
      <c r="AF89" s="16"/>
      <c r="AG89" s="12"/>
      <c r="AH89" s="12"/>
      <c r="AI89" s="16"/>
      <c r="AJ89" s="12"/>
      <c r="AK89" s="12"/>
      <c r="AL89" s="16"/>
      <c r="AM89" s="12"/>
      <c r="AN89" s="12"/>
      <c r="AO89" s="16"/>
      <c r="AP89" s="16"/>
      <c r="AQ89" s="16"/>
      <c r="AR89" s="16"/>
      <c r="AS89" s="16"/>
      <c r="AT89" s="16"/>
      <c r="AU89" s="16"/>
      <c r="AV89" s="16"/>
      <c r="AW89" s="16"/>
      <c r="AX89" s="16"/>
      <c r="AY89" s="16"/>
      <c r="AZ89" s="16"/>
      <c r="BA89" s="16"/>
      <c r="BB89" s="16"/>
      <c r="BC89" s="16"/>
      <c r="BD89" s="16"/>
    </row>
    <row r="90" spans="12:56" x14ac:dyDescent="0.2">
      <c r="L90" s="12"/>
      <c r="M90" s="12"/>
      <c r="N90" s="16"/>
      <c r="O90" s="12"/>
      <c r="P90" s="12"/>
      <c r="Q90" s="16"/>
      <c r="R90" s="12"/>
      <c r="S90" s="12"/>
      <c r="T90" s="16"/>
      <c r="U90" s="12"/>
      <c r="V90" s="12"/>
      <c r="W90" s="16"/>
      <c r="X90" s="12"/>
      <c r="Y90" s="12"/>
      <c r="Z90" s="16"/>
      <c r="AA90" s="12"/>
      <c r="AB90" s="12"/>
      <c r="AC90" s="16"/>
      <c r="AD90" s="12"/>
      <c r="AE90" s="12"/>
      <c r="AF90" s="16"/>
      <c r="AG90" s="12"/>
      <c r="AH90" s="12"/>
      <c r="AI90" s="16"/>
      <c r="AJ90" s="12"/>
      <c r="AK90" s="12"/>
      <c r="AL90" s="16"/>
      <c r="AM90" s="12"/>
      <c r="AN90" s="12"/>
      <c r="AO90" s="16"/>
      <c r="AP90" s="16"/>
      <c r="AQ90" s="16"/>
      <c r="AR90" s="16"/>
      <c r="AS90" s="16"/>
      <c r="AT90" s="16"/>
      <c r="AU90" s="16"/>
      <c r="AV90" s="16"/>
      <c r="AW90" s="16"/>
      <c r="AX90" s="16"/>
      <c r="AY90" s="16"/>
      <c r="AZ90" s="16"/>
      <c r="BA90" s="16"/>
      <c r="BB90" s="16"/>
      <c r="BC90" s="16"/>
      <c r="BD90" s="16"/>
    </row>
    <row r="91" spans="12:56" x14ac:dyDescent="0.2">
      <c r="L91" s="12"/>
      <c r="M91" s="12"/>
      <c r="N91" s="16"/>
      <c r="O91" s="12"/>
      <c r="P91" s="12"/>
      <c r="Q91" s="16"/>
      <c r="R91" s="12"/>
      <c r="S91" s="12"/>
      <c r="T91" s="16"/>
      <c r="U91" s="12"/>
      <c r="V91" s="12"/>
      <c r="W91" s="16"/>
      <c r="X91" s="12"/>
      <c r="Y91" s="12"/>
      <c r="Z91" s="16"/>
      <c r="AA91" s="12"/>
      <c r="AB91" s="12"/>
      <c r="AC91" s="16"/>
      <c r="AD91" s="12"/>
      <c r="AE91" s="12"/>
      <c r="AF91" s="16"/>
      <c r="AG91" s="12"/>
      <c r="AH91" s="12"/>
      <c r="AI91" s="16"/>
      <c r="AJ91" s="12"/>
      <c r="AK91" s="12"/>
      <c r="AL91" s="16"/>
      <c r="AM91" s="12"/>
      <c r="AN91" s="12"/>
      <c r="AO91" s="16"/>
      <c r="AP91" s="16"/>
      <c r="AQ91" s="16"/>
      <c r="AR91" s="16"/>
      <c r="AS91" s="16"/>
      <c r="AT91" s="16"/>
      <c r="AU91" s="16"/>
      <c r="AV91" s="16"/>
      <c r="AW91" s="16"/>
      <c r="AX91" s="16"/>
      <c r="AY91" s="16"/>
      <c r="AZ91" s="16"/>
      <c r="BA91" s="16"/>
      <c r="BB91" s="16"/>
      <c r="BC91" s="16"/>
      <c r="BD91" s="16"/>
    </row>
    <row r="92" spans="12:56" x14ac:dyDescent="0.2">
      <c r="L92" s="12"/>
      <c r="M92" s="12"/>
      <c r="N92" s="16"/>
      <c r="O92" s="12"/>
      <c r="P92" s="12"/>
      <c r="Q92" s="16"/>
      <c r="R92" s="12"/>
      <c r="S92" s="12"/>
      <c r="T92" s="16"/>
      <c r="U92" s="12"/>
      <c r="V92" s="12"/>
      <c r="W92" s="16"/>
      <c r="X92" s="12"/>
      <c r="Y92" s="12"/>
      <c r="Z92" s="16"/>
      <c r="AA92" s="12"/>
      <c r="AB92" s="12"/>
      <c r="AC92" s="16"/>
      <c r="AD92" s="12"/>
      <c r="AE92" s="12"/>
      <c r="AF92" s="16"/>
      <c r="AG92" s="12"/>
      <c r="AH92" s="12"/>
      <c r="AI92" s="16"/>
      <c r="AJ92" s="12"/>
      <c r="AK92" s="12"/>
      <c r="AL92" s="16"/>
      <c r="AM92" s="12"/>
      <c r="AN92" s="12"/>
      <c r="AO92" s="16"/>
      <c r="AP92" s="16"/>
      <c r="AQ92" s="16"/>
      <c r="AR92" s="16"/>
      <c r="AS92" s="16"/>
      <c r="AT92" s="16"/>
      <c r="AU92" s="16"/>
      <c r="AV92" s="16"/>
      <c r="AW92" s="16"/>
      <c r="AX92" s="16"/>
      <c r="AY92" s="16"/>
      <c r="AZ92" s="16"/>
      <c r="BA92" s="16"/>
      <c r="BB92" s="16"/>
      <c r="BC92" s="16"/>
      <c r="BD92" s="16"/>
    </row>
    <row r="93" spans="12:56" x14ac:dyDescent="0.2">
      <c r="L93" s="12"/>
      <c r="M93" s="12"/>
      <c r="N93" s="16"/>
      <c r="O93" s="12"/>
      <c r="P93" s="12"/>
      <c r="Q93" s="16"/>
      <c r="R93" s="12"/>
      <c r="S93" s="12"/>
      <c r="T93" s="16"/>
      <c r="U93" s="12"/>
      <c r="V93" s="12"/>
      <c r="W93" s="16"/>
      <c r="X93" s="12"/>
      <c r="Y93" s="12"/>
      <c r="Z93" s="16"/>
      <c r="AA93" s="12"/>
      <c r="AB93" s="12"/>
      <c r="AC93" s="16"/>
      <c r="AD93" s="12"/>
      <c r="AE93" s="12"/>
      <c r="AF93" s="16"/>
      <c r="AG93" s="12"/>
      <c r="AH93" s="12"/>
      <c r="AI93" s="16"/>
      <c r="AJ93" s="12"/>
      <c r="AK93" s="12"/>
      <c r="AL93" s="16"/>
      <c r="AM93" s="12"/>
      <c r="AN93" s="12"/>
      <c r="AO93" s="16"/>
      <c r="AP93" s="16"/>
      <c r="AQ93" s="16"/>
      <c r="AR93" s="16"/>
      <c r="AS93" s="16"/>
      <c r="AT93" s="16"/>
      <c r="AU93" s="16"/>
      <c r="AV93" s="16"/>
      <c r="AW93" s="16"/>
      <c r="AX93" s="16"/>
      <c r="AY93" s="16"/>
      <c r="AZ93" s="16"/>
      <c r="BA93" s="16"/>
      <c r="BB93" s="16"/>
      <c r="BC93" s="16"/>
      <c r="BD93" s="16"/>
    </row>
    <row r="94" spans="12:56" x14ac:dyDescent="0.2">
      <c r="L94" s="12"/>
      <c r="M94" s="12"/>
      <c r="N94" s="16"/>
      <c r="O94" s="12"/>
      <c r="P94" s="12"/>
      <c r="Q94" s="16"/>
      <c r="R94" s="12"/>
      <c r="S94" s="12"/>
      <c r="T94" s="16"/>
      <c r="U94" s="12"/>
      <c r="V94" s="12"/>
      <c r="W94" s="16"/>
      <c r="X94" s="12"/>
      <c r="Y94" s="12"/>
      <c r="Z94" s="16"/>
      <c r="AA94" s="12"/>
      <c r="AB94" s="12"/>
      <c r="AC94" s="16"/>
      <c r="AD94" s="12"/>
      <c r="AE94" s="12"/>
      <c r="AF94" s="16"/>
      <c r="AG94" s="12"/>
      <c r="AH94" s="12"/>
      <c r="AI94" s="16"/>
      <c r="AJ94" s="12"/>
      <c r="AK94" s="12"/>
      <c r="AL94" s="16"/>
      <c r="AM94" s="12"/>
      <c r="AN94" s="12"/>
      <c r="AO94" s="16"/>
      <c r="AP94" s="16"/>
      <c r="AQ94" s="16"/>
      <c r="AR94" s="16"/>
      <c r="AS94" s="16"/>
      <c r="AT94" s="16"/>
      <c r="AU94" s="16"/>
      <c r="AV94" s="16"/>
      <c r="AW94" s="16"/>
      <c r="AX94" s="16"/>
      <c r="AY94" s="16"/>
      <c r="AZ94" s="16"/>
      <c r="BA94" s="16"/>
      <c r="BB94" s="16"/>
      <c r="BC94" s="16"/>
      <c r="BD94" s="16"/>
    </row>
    <row r="95" spans="12:56" x14ac:dyDescent="0.2">
      <c r="L95" s="12"/>
      <c r="M95" s="12"/>
      <c r="N95" s="16"/>
      <c r="O95" s="12"/>
      <c r="P95" s="12"/>
      <c r="Q95" s="16"/>
      <c r="R95" s="12"/>
      <c r="S95" s="12"/>
      <c r="T95" s="16"/>
      <c r="U95" s="12"/>
      <c r="V95" s="12"/>
      <c r="W95" s="16"/>
      <c r="X95" s="12"/>
      <c r="Y95" s="12"/>
      <c r="Z95" s="16"/>
      <c r="AA95" s="12"/>
      <c r="AB95" s="12"/>
      <c r="AC95" s="16"/>
      <c r="AD95" s="12"/>
      <c r="AE95" s="12"/>
      <c r="AF95" s="16"/>
      <c r="AG95" s="12"/>
      <c r="AH95" s="12"/>
      <c r="AI95" s="16"/>
      <c r="AJ95" s="12"/>
      <c r="AK95" s="12"/>
      <c r="AL95" s="16"/>
      <c r="AM95" s="12"/>
      <c r="AN95" s="12"/>
      <c r="AO95" s="16"/>
      <c r="AP95" s="16"/>
      <c r="AQ95" s="16"/>
      <c r="AR95" s="16"/>
      <c r="AS95" s="16"/>
      <c r="AT95" s="16"/>
      <c r="AU95" s="16"/>
      <c r="AV95" s="16"/>
      <c r="AW95" s="16"/>
      <c r="AX95" s="16"/>
      <c r="AY95" s="16"/>
      <c r="AZ95" s="16"/>
      <c r="BA95" s="16"/>
      <c r="BB95" s="16"/>
      <c r="BC95" s="16"/>
      <c r="BD95" s="16"/>
    </row>
    <row r="96" spans="12:56" x14ac:dyDescent="0.2">
      <c r="L96" s="12"/>
      <c r="M96" s="12"/>
      <c r="N96" s="16"/>
      <c r="O96" s="12"/>
      <c r="P96" s="12"/>
      <c r="Q96" s="16"/>
      <c r="R96" s="12"/>
      <c r="S96" s="12"/>
      <c r="T96" s="16"/>
      <c r="U96" s="12"/>
      <c r="V96" s="12"/>
      <c r="W96" s="16"/>
      <c r="X96" s="12"/>
      <c r="Y96" s="12"/>
      <c r="Z96" s="16"/>
      <c r="AA96" s="12"/>
      <c r="AB96" s="12"/>
      <c r="AC96" s="16"/>
      <c r="AD96" s="12"/>
      <c r="AE96" s="12"/>
      <c r="AF96" s="16"/>
      <c r="AG96" s="12"/>
      <c r="AH96" s="12"/>
      <c r="AI96" s="16"/>
      <c r="AJ96" s="12"/>
      <c r="AK96" s="12"/>
      <c r="AL96" s="16"/>
      <c r="AM96" s="12"/>
      <c r="AN96" s="12"/>
      <c r="AO96" s="16"/>
      <c r="AP96" s="16"/>
      <c r="AQ96" s="16"/>
      <c r="AR96" s="16"/>
      <c r="AS96" s="16"/>
      <c r="AT96" s="16"/>
      <c r="AU96" s="16"/>
      <c r="AV96" s="16"/>
      <c r="AW96" s="16"/>
      <c r="AX96" s="16"/>
      <c r="AY96" s="16"/>
      <c r="AZ96" s="16"/>
      <c r="BA96" s="16"/>
      <c r="BB96" s="16"/>
      <c r="BC96" s="16"/>
      <c r="BD96" s="16"/>
    </row>
    <row r="97" spans="12:56" x14ac:dyDescent="0.2">
      <c r="L97" s="12"/>
      <c r="M97" s="12"/>
      <c r="N97" s="16"/>
      <c r="O97" s="12"/>
      <c r="P97" s="12"/>
      <c r="Q97" s="16"/>
      <c r="R97" s="12"/>
      <c r="S97" s="12"/>
      <c r="T97" s="16"/>
      <c r="U97" s="12"/>
      <c r="V97" s="12"/>
      <c r="W97" s="16"/>
      <c r="X97" s="12"/>
      <c r="Y97" s="12"/>
      <c r="Z97" s="16"/>
      <c r="AA97" s="12"/>
      <c r="AB97" s="12"/>
      <c r="AC97" s="16"/>
      <c r="AD97" s="12"/>
      <c r="AE97" s="12"/>
      <c r="AF97" s="16"/>
      <c r="AG97" s="12"/>
      <c r="AH97" s="12"/>
      <c r="AI97" s="16"/>
      <c r="AJ97" s="12"/>
      <c r="AK97" s="12"/>
      <c r="AL97" s="16"/>
      <c r="AM97" s="12"/>
      <c r="AN97" s="12"/>
      <c r="AO97" s="16"/>
      <c r="AP97" s="16"/>
      <c r="AQ97" s="16"/>
      <c r="AR97" s="16"/>
      <c r="AS97" s="16"/>
      <c r="AT97" s="16"/>
      <c r="AU97" s="16"/>
      <c r="AV97" s="16"/>
      <c r="AW97" s="16"/>
      <c r="AX97" s="16"/>
      <c r="AY97" s="16"/>
      <c r="AZ97" s="16"/>
      <c r="BA97" s="16"/>
      <c r="BB97" s="16"/>
      <c r="BC97" s="16"/>
      <c r="BD97" s="16"/>
    </row>
    <row r="98" spans="12:56" x14ac:dyDescent="0.2">
      <c r="L98" s="12"/>
      <c r="M98" s="12"/>
      <c r="N98" s="16"/>
      <c r="O98" s="12"/>
      <c r="P98" s="12"/>
      <c r="Q98" s="16"/>
      <c r="R98" s="12"/>
      <c r="S98" s="12"/>
      <c r="T98" s="16"/>
      <c r="U98" s="12"/>
      <c r="V98" s="12"/>
      <c r="W98" s="16"/>
      <c r="X98" s="12"/>
      <c r="Y98" s="12"/>
      <c r="Z98" s="16"/>
      <c r="AA98" s="12"/>
      <c r="AB98" s="12"/>
      <c r="AC98" s="16"/>
      <c r="AD98" s="12"/>
      <c r="AE98" s="12"/>
      <c r="AF98" s="16"/>
      <c r="AG98" s="12"/>
      <c r="AH98" s="12"/>
      <c r="AI98" s="16"/>
      <c r="AJ98" s="12"/>
      <c r="AK98" s="12"/>
      <c r="AL98" s="16"/>
      <c r="AM98" s="12"/>
      <c r="AN98" s="12"/>
      <c r="AO98" s="16"/>
      <c r="AP98" s="16"/>
      <c r="AQ98" s="16"/>
      <c r="AR98" s="16"/>
      <c r="AS98" s="16"/>
      <c r="AT98" s="16"/>
      <c r="AU98" s="16"/>
      <c r="AV98" s="16"/>
      <c r="AW98" s="16"/>
      <c r="AX98" s="16"/>
      <c r="AY98" s="16"/>
      <c r="AZ98" s="16"/>
      <c r="BA98" s="16"/>
      <c r="BB98" s="16"/>
      <c r="BC98" s="16"/>
      <c r="BD98" s="16"/>
    </row>
    <row r="99" spans="12:56" x14ac:dyDescent="0.2">
      <c r="L99" s="12"/>
      <c r="M99" s="12"/>
      <c r="N99" s="16"/>
      <c r="O99" s="12"/>
      <c r="P99" s="12"/>
      <c r="Q99" s="16"/>
      <c r="R99" s="12"/>
      <c r="S99" s="12"/>
      <c r="T99" s="16"/>
      <c r="U99" s="12"/>
      <c r="V99" s="12"/>
      <c r="W99" s="16"/>
      <c r="X99" s="12"/>
      <c r="Y99" s="12"/>
      <c r="Z99" s="16"/>
      <c r="AA99" s="12"/>
      <c r="AB99" s="12"/>
      <c r="AC99" s="16"/>
      <c r="AD99" s="12"/>
      <c r="AE99" s="12"/>
      <c r="AF99" s="16"/>
      <c r="AG99" s="12"/>
      <c r="AH99" s="12"/>
      <c r="AI99" s="16"/>
      <c r="AJ99" s="12"/>
      <c r="AK99" s="12"/>
      <c r="AL99" s="16"/>
      <c r="AM99" s="12"/>
      <c r="AN99" s="12"/>
      <c r="AO99" s="16"/>
      <c r="AP99" s="16"/>
      <c r="AQ99" s="16"/>
      <c r="AR99" s="16"/>
      <c r="AS99" s="16"/>
      <c r="AT99" s="16"/>
      <c r="AU99" s="16"/>
      <c r="AV99" s="16"/>
      <c r="AW99" s="16"/>
      <c r="AX99" s="16"/>
      <c r="AY99" s="16"/>
      <c r="AZ99" s="16"/>
      <c r="BA99" s="16"/>
      <c r="BB99" s="16"/>
      <c r="BC99" s="16"/>
      <c r="BD99" s="16"/>
    </row>
    <row r="100" spans="12:56" x14ac:dyDescent="0.2">
      <c r="L100" s="12"/>
      <c r="M100" s="12"/>
      <c r="N100" s="16"/>
      <c r="O100" s="12"/>
      <c r="P100" s="12"/>
      <c r="Q100" s="16"/>
      <c r="R100" s="12"/>
      <c r="S100" s="12"/>
      <c r="T100" s="16"/>
      <c r="U100" s="12"/>
      <c r="V100" s="12"/>
      <c r="W100" s="16"/>
      <c r="X100" s="12"/>
      <c r="Y100" s="12"/>
      <c r="Z100" s="16"/>
      <c r="AA100" s="12"/>
      <c r="AB100" s="12"/>
      <c r="AC100" s="16"/>
      <c r="AD100" s="12"/>
      <c r="AE100" s="12"/>
      <c r="AF100" s="16"/>
      <c r="AG100" s="12"/>
      <c r="AH100" s="12"/>
      <c r="AI100" s="16"/>
      <c r="AJ100" s="12"/>
      <c r="AK100" s="12"/>
      <c r="AL100" s="16"/>
      <c r="AM100" s="12"/>
      <c r="AN100" s="12"/>
      <c r="AO100" s="16"/>
      <c r="AP100" s="16"/>
      <c r="AQ100" s="16"/>
      <c r="AR100" s="16"/>
      <c r="AS100" s="16"/>
      <c r="AT100" s="16"/>
      <c r="AU100" s="16"/>
      <c r="AV100" s="16"/>
      <c r="AW100" s="16"/>
      <c r="AX100" s="16"/>
      <c r="AY100" s="16"/>
      <c r="AZ100" s="16"/>
      <c r="BA100" s="16"/>
      <c r="BB100" s="16"/>
      <c r="BC100" s="16"/>
      <c r="BD100" s="16"/>
    </row>
    <row r="101" spans="12:56" x14ac:dyDescent="0.2">
      <c r="L101" s="12"/>
      <c r="M101" s="12"/>
      <c r="N101" s="16"/>
      <c r="O101" s="12"/>
      <c r="P101" s="12"/>
      <c r="Q101" s="16"/>
      <c r="R101" s="12"/>
      <c r="S101" s="12"/>
      <c r="T101" s="16"/>
      <c r="U101" s="12"/>
      <c r="V101" s="12"/>
      <c r="W101" s="16"/>
      <c r="X101" s="12"/>
      <c r="Y101" s="12"/>
      <c r="Z101" s="16"/>
      <c r="AA101" s="12"/>
      <c r="AB101" s="12"/>
      <c r="AC101" s="16"/>
      <c r="AD101" s="12"/>
      <c r="AE101" s="12"/>
      <c r="AF101" s="16"/>
      <c r="AG101" s="12"/>
      <c r="AH101" s="12"/>
      <c r="AI101" s="16"/>
      <c r="AJ101" s="12"/>
      <c r="AK101" s="12"/>
      <c r="AL101" s="16"/>
      <c r="AM101" s="12"/>
      <c r="AN101" s="12"/>
      <c r="AO101" s="16"/>
      <c r="AP101" s="16"/>
      <c r="AQ101" s="16"/>
      <c r="AR101" s="16"/>
      <c r="AS101" s="16"/>
      <c r="AT101" s="16"/>
      <c r="AU101" s="16"/>
      <c r="AV101" s="16"/>
      <c r="AW101" s="16"/>
      <c r="AX101" s="16"/>
      <c r="AY101" s="16"/>
      <c r="AZ101" s="16"/>
      <c r="BA101" s="16"/>
      <c r="BB101" s="16"/>
      <c r="BC101" s="16"/>
      <c r="BD101" s="16"/>
    </row>
    <row r="102" spans="12:56" x14ac:dyDescent="0.2">
      <c r="L102" s="12"/>
      <c r="M102" s="12"/>
      <c r="N102" s="16"/>
      <c r="O102" s="12"/>
      <c r="P102" s="12"/>
      <c r="Q102" s="16"/>
      <c r="R102" s="12"/>
      <c r="S102" s="12"/>
      <c r="T102" s="16"/>
      <c r="U102" s="12"/>
      <c r="V102" s="12"/>
      <c r="W102" s="16"/>
      <c r="X102" s="12"/>
      <c r="Y102" s="12"/>
      <c r="Z102" s="16"/>
      <c r="AA102" s="12"/>
      <c r="AB102" s="12"/>
      <c r="AC102" s="16"/>
      <c r="AD102" s="12"/>
      <c r="AE102" s="12"/>
      <c r="AF102" s="16"/>
      <c r="AG102" s="12"/>
      <c r="AH102" s="12"/>
      <c r="AI102" s="16"/>
      <c r="AJ102" s="12"/>
      <c r="AK102" s="12"/>
      <c r="AL102" s="16"/>
      <c r="AM102" s="12"/>
      <c r="AN102" s="12"/>
      <c r="AO102" s="16"/>
      <c r="AP102" s="16"/>
      <c r="AQ102" s="16"/>
      <c r="AR102" s="16"/>
      <c r="AS102" s="16"/>
      <c r="AT102" s="16"/>
      <c r="AU102" s="16"/>
      <c r="AV102" s="16"/>
      <c r="AW102" s="16"/>
      <c r="AX102" s="16"/>
      <c r="AY102" s="16"/>
      <c r="AZ102" s="16"/>
      <c r="BA102" s="16"/>
      <c r="BB102" s="16"/>
      <c r="BC102" s="16"/>
      <c r="BD102" s="16"/>
    </row>
    <row r="103" spans="12:56" x14ac:dyDescent="0.2">
      <c r="L103" s="12"/>
      <c r="M103" s="12"/>
      <c r="N103" s="16"/>
      <c r="O103" s="12"/>
      <c r="P103" s="12"/>
      <c r="Q103" s="16"/>
      <c r="R103" s="12"/>
      <c r="S103" s="12"/>
      <c r="T103" s="16"/>
      <c r="U103" s="12"/>
      <c r="V103" s="12"/>
      <c r="W103" s="16"/>
      <c r="X103" s="12"/>
      <c r="Y103" s="12"/>
      <c r="Z103" s="16"/>
      <c r="AA103" s="12"/>
      <c r="AB103" s="12"/>
      <c r="AC103" s="16"/>
      <c r="AD103" s="12"/>
      <c r="AE103" s="12"/>
      <c r="AF103" s="16"/>
      <c r="AG103" s="12"/>
      <c r="AH103" s="12"/>
      <c r="AI103" s="16"/>
      <c r="AJ103" s="12"/>
      <c r="AK103" s="12"/>
      <c r="AL103" s="16"/>
      <c r="AM103" s="12"/>
      <c r="AN103" s="12"/>
      <c r="AO103" s="16"/>
      <c r="AP103" s="16"/>
      <c r="AQ103" s="16"/>
      <c r="AR103" s="16"/>
      <c r="AS103" s="16"/>
      <c r="AT103" s="16"/>
      <c r="AU103" s="16"/>
      <c r="AV103" s="16"/>
      <c r="AW103" s="16"/>
      <c r="AX103" s="16"/>
      <c r="AY103" s="16"/>
      <c r="AZ103" s="16"/>
      <c r="BA103" s="16"/>
      <c r="BB103" s="16"/>
      <c r="BC103" s="16"/>
      <c r="BD103" s="16"/>
    </row>
    <row r="104" spans="12:56" x14ac:dyDescent="0.2">
      <c r="L104" s="12"/>
      <c r="M104" s="12"/>
      <c r="N104" s="16"/>
      <c r="O104" s="12"/>
      <c r="P104" s="12"/>
      <c r="Q104" s="16"/>
      <c r="R104" s="12"/>
      <c r="S104" s="12"/>
      <c r="T104" s="16"/>
      <c r="U104" s="12"/>
      <c r="V104" s="12"/>
      <c r="W104" s="16"/>
      <c r="X104" s="12"/>
      <c r="Y104" s="12"/>
      <c r="Z104" s="16"/>
      <c r="AA104" s="12"/>
      <c r="AB104" s="12"/>
      <c r="AC104" s="16"/>
      <c r="AD104" s="12"/>
      <c r="AE104" s="12"/>
      <c r="AF104" s="16"/>
      <c r="AG104" s="12"/>
      <c r="AH104" s="12"/>
      <c r="AI104" s="16"/>
      <c r="AJ104" s="12"/>
      <c r="AK104" s="12"/>
      <c r="AL104" s="16"/>
      <c r="AM104" s="12"/>
      <c r="AN104" s="12"/>
      <c r="AO104" s="16"/>
      <c r="AP104" s="16"/>
      <c r="AQ104" s="16"/>
      <c r="AR104" s="16"/>
      <c r="AS104" s="16"/>
      <c r="AT104" s="16"/>
      <c r="AU104" s="16"/>
      <c r="AV104" s="16"/>
      <c r="AW104" s="16"/>
      <c r="AX104" s="16"/>
      <c r="AY104" s="16"/>
      <c r="AZ104" s="16"/>
      <c r="BA104" s="16"/>
      <c r="BB104" s="16"/>
      <c r="BC104" s="16"/>
      <c r="BD104" s="16"/>
    </row>
    <row r="105" spans="12:56" x14ac:dyDescent="0.2">
      <c r="L105" s="12"/>
      <c r="M105" s="12"/>
      <c r="N105" s="16"/>
      <c r="O105" s="12"/>
      <c r="P105" s="12"/>
      <c r="Q105" s="16"/>
      <c r="R105" s="12"/>
      <c r="S105" s="12"/>
      <c r="T105" s="16"/>
      <c r="U105" s="12"/>
      <c r="V105" s="12"/>
      <c r="W105" s="16"/>
      <c r="X105" s="12"/>
      <c r="Y105" s="12"/>
      <c r="Z105" s="16"/>
      <c r="AA105" s="12"/>
      <c r="AB105" s="12"/>
      <c r="AC105" s="16"/>
      <c r="AD105" s="12"/>
      <c r="AE105" s="12"/>
      <c r="AF105" s="16"/>
      <c r="AG105" s="12"/>
      <c r="AH105" s="12"/>
      <c r="AI105" s="16"/>
      <c r="AJ105" s="12"/>
      <c r="AK105" s="12"/>
      <c r="AL105" s="16"/>
      <c r="AM105" s="12"/>
      <c r="AN105" s="12"/>
      <c r="AO105" s="16"/>
      <c r="AP105" s="16"/>
      <c r="AQ105" s="16"/>
      <c r="AR105" s="16"/>
      <c r="AS105" s="16"/>
      <c r="AT105" s="16"/>
      <c r="AU105" s="16"/>
      <c r="AV105" s="16"/>
      <c r="AW105" s="16"/>
      <c r="AX105" s="16"/>
      <c r="AY105" s="16"/>
      <c r="AZ105" s="16"/>
      <c r="BA105" s="16"/>
      <c r="BB105" s="16"/>
      <c r="BC105" s="16"/>
      <c r="BD105" s="16"/>
    </row>
    <row r="106" spans="12:56" x14ac:dyDescent="0.2">
      <c r="L106" s="12"/>
      <c r="M106" s="12"/>
      <c r="N106" s="16"/>
      <c r="O106" s="12"/>
      <c r="P106" s="12"/>
      <c r="Q106" s="16"/>
      <c r="R106" s="12"/>
      <c r="S106" s="12"/>
      <c r="T106" s="16"/>
      <c r="U106" s="12"/>
      <c r="V106" s="12"/>
      <c r="W106" s="16"/>
      <c r="X106" s="12"/>
      <c r="Y106" s="12"/>
      <c r="Z106" s="16"/>
      <c r="AA106" s="12"/>
      <c r="AB106" s="12"/>
      <c r="AC106" s="16"/>
      <c r="AD106" s="12"/>
      <c r="AE106" s="12"/>
      <c r="AF106" s="16"/>
      <c r="AG106" s="12"/>
      <c r="AH106" s="12"/>
      <c r="AI106" s="16"/>
      <c r="AJ106" s="12"/>
      <c r="AK106" s="12"/>
      <c r="AL106" s="16"/>
      <c r="AM106" s="12"/>
      <c r="AN106" s="12"/>
      <c r="AO106" s="16"/>
      <c r="AP106" s="16"/>
      <c r="AQ106" s="16"/>
      <c r="AR106" s="16"/>
      <c r="AS106" s="16"/>
      <c r="AT106" s="16"/>
      <c r="AU106" s="16"/>
      <c r="AV106" s="16"/>
      <c r="AW106" s="16"/>
      <c r="AX106" s="16"/>
      <c r="AY106" s="16"/>
      <c r="AZ106" s="16"/>
      <c r="BA106" s="16"/>
      <c r="BB106" s="16"/>
      <c r="BC106" s="16"/>
      <c r="BD106" s="16"/>
    </row>
    <row r="107" spans="12:56" x14ac:dyDescent="0.2">
      <c r="L107" s="12"/>
      <c r="M107" s="12"/>
      <c r="N107" s="16"/>
      <c r="O107" s="12"/>
      <c r="P107" s="12"/>
      <c r="Q107" s="16"/>
      <c r="R107" s="12"/>
      <c r="S107" s="12"/>
      <c r="T107" s="16"/>
      <c r="U107" s="12"/>
      <c r="V107" s="12"/>
      <c r="W107" s="16"/>
      <c r="X107" s="12"/>
      <c r="Y107" s="12"/>
      <c r="Z107" s="16"/>
      <c r="AA107" s="12"/>
      <c r="AB107" s="12"/>
      <c r="AC107" s="16"/>
      <c r="AD107" s="12"/>
      <c r="AE107" s="12"/>
      <c r="AF107" s="16"/>
      <c r="AG107" s="12"/>
      <c r="AH107" s="12"/>
      <c r="AI107" s="16"/>
      <c r="AJ107" s="12"/>
      <c r="AK107" s="12"/>
      <c r="AL107" s="16"/>
      <c r="AM107" s="12"/>
      <c r="AN107" s="12"/>
      <c r="AO107" s="16"/>
      <c r="AP107" s="16"/>
      <c r="AQ107" s="16"/>
      <c r="AR107" s="16"/>
      <c r="AS107" s="16"/>
      <c r="AT107" s="16"/>
      <c r="AU107" s="16"/>
      <c r="AV107" s="16"/>
      <c r="AW107" s="16"/>
      <c r="AX107" s="16"/>
      <c r="AY107" s="16"/>
      <c r="AZ107" s="16"/>
      <c r="BA107" s="16"/>
      <c r="BB107" s="16"/>
      <c r="BC107" s="16"/>
      <c r="BD107" s="16"/>
    </row>
    <row r="108" spans="12:56" x14ac:dyDescent="0.2">
      <c r="L108" s="12"/>
      <c r="M108" s="12"/>
      <c r="N108" s="16"/>
      <c r="O108" s="12"/>
      <c r="P108" s="12"/>
      <c r="Q108" s="16"/>
      <c r="R108" s="12"/>
      <c r="S108" s="12"/>
      <c r="T108" s="16"/>
      <c r="U108" s="12"/>
      <c r="V108" s="12"/>
      <c r="W108" s="16"/>
      <c r="X108" s="12"/>
      <c r="Y108" s="12"/>
      <c r="Z108" s="16"/>
      <c r="AA108" s="12"/>
      <c r="AB108" s="12"/>
      <c r="AC108" s="16"/>
      <c r="AD108" s="12"/>
      <c r="AE108" s="12"/>
      <c r="AF108" s="16"/>
      <c r="AG108" s="12"/>
      <c r="AH108" s="12"/>
      <c r="AI108" s="16"/>
      <c r="AJ108" s="12"/>
      <c r="AK108" s="12"/>
      <c r="AL108" s="16"/>
      <c r="AM108" s="12"/>
      <c r="AN108" s="12"/>
      <c r="AO108" s="16"/>
      <c r="AP108" s="16"/>
      <c r="AQ108" s="16"/>
      <c r="AR108" s="16"/>
      <c r="AS108" s="16"/>
      <c r="AT108" s="16"/>
      <c r="AU108" s="16"/>
      <c r="AV108" s="16"/>
      <c r="AW108" s="16"/>
      <c r="AX108" s="16"/>
      <c r="AY108" s="16"/>
      <c r="AZ108" s="16"/>
      <c r="BA108" s="16"/>
      <c r="BB108" s="16"/>
      <c r="BC108" s="16"/>
      <c r="BD108" s="16"/>
    </row>
    <row r="109" spans="12:56" x14ac:dyDescent="0.2">
      <c r="L109" s="12"/>
      <c r="M109" s="12"/>
      <c r="N109" s="16"/>
      <c r="O109" s="12"/>
      <c r="P109" s="12"/>
      <c r="Q109" s="16"/>
      <c r="R109" s="12"/>
      <c r="S109" s="12"/>
      <c r="T109" s="16"/>
      <c r="U109" s="12"/>
      <c r="V109" s="12"/>
      <c r="W109" s="16"/>
      <c r="X109" s="12"/>
      <c r="Y109" s="12"/>
      <c r="Z109" s="16"/>
      <c r="AA109" s="12"/>
      <c r="AB109" s="12"/>
      <c r="AC109" s="16"/>
      <c r="AD109" s="12"/>
      <c r="AE109" s="12"/>
      <c r="AF109" s="16"/>
      <c r="AG109" s="12"/>
      <c r="AH109" s="12"/>
      <c r="AI109" s="16"/>
      <c r="AJ109" s="12"/>
      <c r="AK109" s="12"/>
      <c r="AL109" s="16"/>
      <c r="AM109" s="12"/>
      <c r="AN109" s="12"/>
      <c r="AO109" s="16"/>
      <c r="AP109" s="16"/>
      <c r="AQ109" s="16"/>
      <c r="AR109" s="16"/>
      <c r="AS109" s="16"/>
      <c r="AT109" s="16"/>
      <c r="AU109" s="16"/>
      <c r="AV109" s="16"/>
      <c r="AW109" s="16"/>
      <c r="AX109" s="16"/>
      <c r="AY109" s="16"/>
      <c r="AZ109" s="16"/>
      <c r="BA109" s="16"/>
      <c r="BB109" s="16"/>
      <c r="BC109" s="16"/>
      <c r="BD109" s="16"/>
    </row>
    <row r="110" spans="12:56" x14ac:dyDescent="0.2">
      <c r="L110" s="12"/>
      <c r="M110" s="12"/>
      <c r="N110" s="16"/>
      <c r="O110" s="12"/>
      <c r="P110" s="12"/>
      <c r="Q110" s="16"/>
      <c r="R110" s="12"/>
      <c r="S110" s="12"/>
      <c r="T110" s="16"/>
      <c r="U110" s="12"/>
      <c r="V110" s="12"/>
      <c r="W110" s="16"/>
      <c r="X110" s="12"/>
      <c r="Y110" s="12"/>
      <c r="Z110" s="16"/>
      <c r="AA110" s="12"/>
      <c r="AB110" s="12"/>
      <c r="AC110" s="16"/>
      <c r="AD110" s="12"/>
      <c r="AE110" s="12"/>
      <c r="AF110" s="16"/>
      <c r="AG110" s="12"/>
      <c r="AH110" s="12"/>
      <c r="AI110" s="16"/>
      <c r="AJ110" s="12"/>
      <c r="AK110" s="12"/>
      <c r="AL110" s="16"/>
      <c r="AM110" s="12"/>
      <c r="AN110" s="12"/>
      <c r="AO110" s="16"/>
      <c r="AP110" s="16"/>
      <c r="AQ110" s="16"/>
      <c r="AR110" s="16"/>
      <c r="AS110" s="16"/>
      <c r="AT110" s="16"/>
      <c r="AU110" s="16"/>
      <c r="AV110" s="16"/>
      <c r="AW110" s="16"/>
      <c r="AX110" s="16"/>
      <c r="AY110" s="16"/>
      <c r="AZ110" s="16"/>
      <c r="BA110" s="16"/>
      <c r="BB110" s="16"/>
      <c r="BC110" s="16"/>
      <c r="BD110" s="16"/>
    </row>
    <row r="111" spans="12:56" x14ac:dyDescent="0.2">
      <c r="L111" s="12"/>
      <c r="M111" s="12"/>
      <c r="N111" s="16"/>
      <c r="O111" s="12"/>
      <c r="P111" s="12"/>
      <c r="Q111" s="16"/>
      <c r="R111" s="12"/>
      <c r="S111" s="12"/>
      <c r="T111" s="16"/>
      <c r="U111" s="12"/>
      <c r="V111" s="12"/>
      <c r="W111" s="16"/>
      <c r="X111" s="12"/>
      <c r="Y111" s="12"/>
      <c r="Z111" s="16"/>
      <c r="AA111" s="12"/>
      <c r="AB111" s="12"/>
      <c r="AC111" s="16"/>
      <c r="AD111" s="12"/>
      <c r="AE111" s="12"/>
      <c r="AF111" s="16"/>
      <c r="AG111" s="12"/>
      <c r="AH111" s="12"/>
      <c r="AI111" s="16"/>
      <c r="AJ111" s="12"/>
      <c r="AK111" s="12"/>
      <c r="AL111" s="16"/>
      <c r="AM111" s="12"/>
      <c r="AN111" s="12"/>
      <c r="AO111" s="16"/>
      <c r="AP111" s="16"/>
      <c r="AQ111" s="16"/>
      <c r="AR111" s="16"/>
      <c r="AS111" s="16"/>
      <c r="AT111" s="16"/>
      <c r="AU111" s="16"/>
      <c r="AV111" s="16"/>
      <c r="AW111" s="16"/>
      <c r="AX111" s="16"/>
      <c r="AY111" s="16"/>
      <c r="AZ111" s="16"/>
      <c r="BA111" s="16"/>
      <c r="BB111" s="16"/>
      <c r="BC111" s="16"/>
      <c r="BD111" s="16"/>
    </row>
    <row r="112" spans="12:56" x14ac:dyDescent="0.2">
      <c r="L112" s="12"/>
      <c r="M112" s="12"/>
      <c r="N112" s="16"/>
      <c r="O112" s="12"/>
      <c r="P112" s="12"/>
      <c r="Q112" s="16"/>
      <c r="R112" s="12"/>
      <c r="S112" s="12"/>
      <c r="T112" s="16"/>
      <c r="U112" s="12"/>
      <c r="V112" s="12"/>
      <c r="W112" s="16"/>
      <c r="X112" s="12"/>
      <c r="Y112" s="12"/>
      <c r="Z112" s="16"/>
      <c r="AA112" s="12"/>
      <c r="AB112" s="12"/>
      <c r="AC112" s="16"/>
      <c r="AD112" s="12"/>
      <c r="AE112" s="12"/>
      <c r="AF112" s="16"/>
      <c r="AG112" s="12"/>
      <c r="AH112" s="12"/>
      <c r="AI112" s="16"/>
      <c r="AJ112" s="12"/>
      <c r="AK112" s="12"/>
      <c r="AL112" s="16"/>
      <c r="AM112" s="12"/>
      <c r="AN112" s="12"/>
      <c r="AO112" s="16"/>
      <c r="AP112" s="16"/>
      <c r="AQ112" s="16"/>
      <c r="AR112" s="16"/>
      <c r="AS112" s="16"/>
      <c r="AT112" s="16"/>
      <c r="AU112" s="16"/>
      <c r="AV112" s="16"/>
      <c r="AW112" s="16"/>
      <c r="AX112" s="16"/>
      <c r="AY112" s="16"/>
      <c r="AZ112" s="16"/>
      <c r="BA112" s="16"/>
      <c r="BB112" s="16"/>
      <c r="BC112" s="16"/>
      <c r="BD112" s="16"/>
    </row>
    <row r="113" spans="12:56" x14ac:dyDescent="0.2">
      <c r="L113" s="12"/>
      <c r="M113" s="12"/>
      <c r="N113" s="16"/>
      <c r="O113" s="12"/>
      <c r="P113" s="12"/>
      <c r="Q113" s="16"/>
      <c r="R113" s="12"/>
      <c r="S113" s="12"/>
      <c r="T113" s="16"/>
      <c r="U113" s="12"/>
      <c r="V113" s="12"/>
      <c r="W113" s="16"/>
      <c r="X113" s="12"/>
      <c r="Y113" s="12"/>
      <c r="Z113" s="16"/>
      <c r="AA113" s="12"/>
      <c r="AB113" s="12"/>
      <c r="AC113" s="16"/>
      <c r="AD113" s="12"/>
      <c r="AE113" s="12"/>
      <c r="AF113" s="16"/>
      <c r="AG113" s="12"/>
      <c r="AH113" s="12"/>
      <c r="AI113" s="16"/>
      <c r="AJ113" s="12"/>
      <c r="AK113" s="12"/>
      <c r="AL113" s="16"/>
      <c r="AM113" s="12"/>
      <c r="AN113" s="12"/>
      <c r="AO113" s="16"/>
      <c r="AP113" s="16"/>
      <c r="AQ113" s="16"/>
      <c r="AR113" s="16"/>
      <c r="AS113" s="16"/>
      <c r="AT113" s="16"/>
      <c r="AU113" s="16"/>
      <c r="AV113" s="16"/>
      <c r="AW113" s="16"/>
      <c r="AX113" s="16"/>
      <c r="AY113" s="16"/>
      <c r="AZ113" s="16"/>
      <c r="BA113" s="16"/>
      <c r="BB113" s="16"/>
      <c r="BC113" s="16"/>
      <c r="BD113" s="16"/>
    </row>
    <row r="114" spans="12:56" x14ac:dyDescent="0.2">
      <c r="L114" s="12"/>
      <c r="M114" s="12"/>
      <c r="N114" s="16"/>
      <c r="O114" s="12"/>
      <c r="P114" s="12"/>
      <c r="Q114" s="16"/>
      <c r="R114" s="12"/>
      <c r="S114" s="12"/>
      <c r="T114" s="16"/>
      <c r="U114" s="12"/>
      <c r="V114" s="12"/>
      <c r="W114" s="16"/>
      <c r="X114" s="12"/>
      <c r="Y114" s="12"/>
      <c r="Z114" s="16"/>
      <c r="AA114" s="12"/>
      <c r="AB114" s="12"/>
      <c r="AC114" s="16"/>
      <c r="AD114" s="12"/>
      <c r="AE114" s="12"/>
      <c r="AF114" s="16"/>
      <c r="AG114" s="12"/>
      <c r="AH114" s="12"/>
      <c r="AI114" s="16"/>
      <c r="AJ114" s="12"/>
      <c r="AK114" s="12"/>
      <c r="AL114" s="16"/>
      <c r="AM114" s="12"/>
      <c r="AN114" s="12"/>
      <c r="AO114" s="16"/>
      <c r="AP114" s="16"/>
      <c r="AQ114" s="16"/>
      <c r="AR114" s="16"/>
      <c r="AS114" s="16"/>
      <c r="AT114" s="16"/>
      <c r="AU114" s="16"/>
      <c r="AV114" s="16"/>
      <c r="AW114" s="16"/>
      <c r="AX114" s="16"/>
      <c r="AY114" s="16"/>
      <c r="AZ114" s="16"/>
      <c r="BA114" s="16"/>
      <c r="BB114" s="16"/>
      <c r="BC114" s="16"/>
      <c r="BD114" s="16"/>
    </row>
    <row r="115" spans="12:56" x14ac:dyDescent="0.2">
      <c r="L115" s="12"/>
      <c r="M115" s="12"/>
      <c r="N115" s="16"/>
      <c r="O115" s="12"/>
      <c r="P115" s="12"/>
      <c r="Q115" s="16"/>
      <c r="R115" s="12"/>
      <c r="S115" s="12"/>
      <c r="T115" s="16"/>
      <c r="U115" s="12"/>
      <c r="V115" s="12"/>
      <c r="W115" s="16"/>
      <c r="X115" s="12"/>
      <c r="Y115" s="12"/>
      <c r="Z115" s="16"/>
      <c r="AA115" s="12"/>
      <c r="AB115" s="12"/>
      <c r="AC115" s="16"/>
      <c r="AD115" s="12"/>
      <c r="AE115" s="12"/>
      <c r="AF115" s="16"/>
      <c r="AG115" s="12"/>
      <c r="AH115" s="12"/>
      <c r="AI115" s="16"/>
      <c r="AJ115" s="12"/>
      <c r="AK115" s="12"/>
      <c r="AL115" s="16"/>
      <c r="AM115" s="12"/>
      <c r="AN115" s="12"/>
      <c r="AO115" s="16"/>
      <c r="AP115" s="16"/>
      <c r="AQ115" s="16"/>
      <c r="AR115" s="16"/>
      <c r="AS115" s="16"/>
      <c r="AT115" s="16"/>
      <c r="AU115" s="16"/>
      <c r="AV115" s="16"/>
      <c r="AW115" s="16"/>
      <c r="AX115" s="16"/>
      <c r="AY115" s="16"/>
      <c r="AZ115" s="16"/>
      <c r="BA115" s="16"/>
      <c r="BB115" s="16"/>
      <c r="BC115" s="16"/>
      <c r="BD115" s="16"/>
    </row>
    <row r="116" spans="12:56" x14ac:dyDescent="0.2">
      <c r="L116" s="12"/>
      <c r="M116" s="12"/>
      <c r="N116" s="16"/>
      <c r="O116" s="12"/>
      <c r="P116" s="12"/>
      <c r="Q116" s="16"/>
      <c r="R116" s="12"/>
      <c r="S116" s="12"/>
      <c r="T116" s="16"/>
      <c r="U116" s="12"/>
      <c r="V116" s="12"/>
      <c r="W116" s="16"/>
      <c r="X116" s="12"/>
      <c r="Y116" s="12"/>
      <c r="Z116" s="16"/>
      <c r="AA116" s="12"/>
      <c r="AB116" s="12"/>
      <c r="AC116" s="16"/>
      <c r="AD116" s="12"/>
      <c r="AE116" s="12"/>
      <c r="AF116" s="16"/>
      <c r="AG116" s="12"/>
      <c r="AH116" s="12"/>
      <c r="AI116" s="16"/>
      <c r="AJ116" s="12"/>
      <c r="AK116" s="12"/>
      <c r="AL116" s="16"/>
      <c r="AM116" s="12"/>
      <c r="AN116" s="12"/>
      <c r="AO116" s="16"/>
      <c r="AP116" s="16"/>
      <c r="AQ116" s="16"/>
      <c r="AR116" s="16"/>
      <c r="AS116" s="16"/>
      <c r="AT116" s="16"/>
      <c r="AU116" s="16"/>
      <c r="AV116" s="16"/>
      <c r="AW116" s="16"/>
      <c r="AX116" s="16"/>
      <c r="AY116" s="16"/>
      <c r="AZ116" s="16"/>
      <c r="BA116" s="16"/>
      <c r="BB116" s="16"/>
      <c r="BC116" s="16"/>
      <c r="BD116" s="16"/>
    </row>
    <row r="117" spans="12:56" x14ac:dyDescent="0.2">
      <c r="L117" s="12"/>
      <c r="M117" s="12"/>
      <c r="N117" s="16"/>
      <c r="O117" s="12"/>
      <c r="P117" s="12"/>
      <c r="Q117" s="16"/>
      <c r="R117" s="12"/>
      <c r="S117" s="12"/>
      <c r="T117" s="16"/>
      <c r="U117" s="12"/>
      <c r="V117" s="12"/>
      <c r="W117" s="16"/>
      <c r="X117" s="12"/>
      <c r="Y117" s="12"/>
      <c r="Z117" s="16"/>
      <c r="AA117" s="12"/>
      <c r="AB117" s="12"/>
      <c r="AC117" s="16"/>
      <c r="AD117" s="12"/>
      <c r="AE117" s="12"/>
      <c r="AF117" s="16"/>
      <c r="AG117" s="12"/>
      <c r="AH117" s="12"/>
      <c r="AI117" s="16"/>
      <c r="AJ117" s="12"/>
      <c r="AK117" s="12"/>
      <c r="AL117" s="16"/>
      <c r="AM117" s="12"/>
      <c r="AN117" s="12"/>
      <c r="AO117" s="16"/>
      <c r="AP117" s="16"/>
      <c r="AQ117" s="16"/>
      <c r="AR117" s="16"/>
      <c r="AS117" s="16"/>
      <c r="AT117" s="16"/>
      <c r="AU117" s="16"/>
      <c r="AV117" s="16"/>
      <c r="AW117" s="16"/>
      <c r="AX117" s="16"/>
      <c r="AY117" s="16"/>
      <c r="AZ117" s="16"/>
      <c r="BA117" s="16"/>
      <c r="BB117" s="16"/>
      <c r="BC117" s="16"/>
      <c r="BD117" s="16"/>
    </row>
    <row r="118" spans="12:56" x14ac:dyDescent="0.2">
      <c r="L118" s="12"/>
      <c r="M118" s="12"/>
      <c r="N118" s="16"/>
      <c r="O118" s="12"/>
      <c r="P118" s="12"/>
      <c r="Q118" s="16"/>
      <c r="R118" s="12"/>
      <c r="S118" s="12"/>
      <c r="T118" s="16"/>
      <c r="U118" s="12"/>
      <c r="V118" s="12"/>
      <c r="W118" s="16"/>
      <c r="X118" s="12"/>
      <c r="Y118" s="12"/>
      <c r="Z118" s="16"/>
      <c r="AA118" s="12"/>
      <c r="AB118" s="12"/>
      <c r="AC118" s="16"/>
      <c r="AD118" s="12"/>
      <c r="AE118" s="12"/>
      <c r="AF118" s="16"/>
      <c r="AG118" s="12"/>
      <c r="AH118" s="12"/>
      <c r="AI118" s="16"/>
      <c r="AJ118" s="12"/>
      <c r="AK118" s="12"/>
      <c r="AL118" s="16"/>
      <c r="AM118" s="12"/>
      <c r="AN118" s="12"/>
      <c r="AO118" s="16"/>
      <c r="AP118" s="16"/>
      <c r="AQ118" s="16"/>
      <c r="AR118" s="16"/>
      <c r="AS118" s="16"/>
      <c r="AT118" s="16"/>
      <c r="AU118" s="16"/>
      <c r="AV118" s="16"/>
      <c r="AW118" s="16"/>
      <c r="AX118" s="16"/>
      <c r="AY118" s="16"/>
      <c r="AZ118" s="16"/>
      <c r="BA118" s="16"/>
      <c r="BB118" s="16"/>
      <c r="BC118" s="16"/>
      <c r="BD118" s="16"/>
    </row>
    <row r="119" spans="12:56" x14ac:dyDescent="0.2">
      <c r="L119" s="12"/>
      <c r="M119" s="12"/>
      <c r="N119" s="16"/>
      <c r="O119" s="12"/>
      <c r="P119" s="12"/>
      <c r="Q119" s="16"/>
      <c r="R119" s="12"/>
      <c r="S119" s="12"/>
      <c r="T119" s="16"/>
      <c r="U119" s="12"/>
      <c r="V119" s="12"/>
      <c r="W119" s="16"/>
      <c r="X119" s="12"/>
      <c r="Y119" s="12"/>
      <c r="Z119" s="16"/>
      <c r="AA119" s="12"/>
      <c r="AB119" s="12"/>
      <c r="AC119" s="16"/>
      <c r="AD119" s="12"/>
      <c r="AE119" s="12"/>
      <c r="AF119" s="16"/>
      <c r="AG119" s="12"/>
      <c r="AH119" s="12"/>
      <c r="AI119" s="16"/>
      <c r="AJ119" s="12"/>
      <c r="AK119" s="12"/>
      <c r="AL119" s="16"/>
      <c r="AM119" s="12"/>
      <c r="AN119" s="12"/>
      <c r="AO119" s="16"/>
      <c r="AP119" s="16"/>
      <c r="AQ119" s="16"/>
      <c r="AR119" s="16"/>
      <c r="AS119" s="16"/>
      <c r="AT119" s="16"/>
      <c r="AU119" s="16"/>
      <c r="AV119" s="16"/>
      <c r="AW119" s="16"/>
      <c r="AX119" s="16"/>
      <c r="AY119" s="16"/>
      <c r="AZ119" s="16"/>
      <c r="BA119" s="16"/>
      <c r="BB119" s="16"/>
      <c r="BC119" s="16"/>
      <c r="BD119" s="16"/>
    </row>
    <row r="120" spans="12:56" x14ac:dyDescent="0.2">
      <c r="L120" s="12"/>
      <c r="M120" s="12"/>
      <c r="N120" s="16"/>
      <c r="O120" s="12"/>
      <c r="P120" s="12"/>
      <c r="Q120" s="16"/>
      <c r="R120" s="12"/>
      <c r="S120" s="12"/>
      <c r="T120" s="16"/>
      <c r="U120" s="12"/>
      <c r="V120" s="12"/>
      <c r="W120" s="16"/>
      <c r="X120" s="12"/>
      <c r="Y120" s="12"/>
      <c r="Z120" s="16"/>
      <c r="AA120" s="12"/>
      <c r="AB120" s="12"/>
      <c r="AC120" s="16"/>
      <c r="AD120" s="12"/>
      <c r="AE120" s="12"/>
      <c r="AF120" s="16"/>
      <c r="AG120" s="12"/>
      <c r="AH120" s="12"/>
      <c r="AI120" s="16"/>
      <c r="AJ120" s="12"/>
      <c r="AK120" s="12"/>
      <c r="AL120" s="16"/>
      <c r="AM120" s="12"/>
      <c r="AN120" s="12"/>
      <c r="AO120" s="16"/>
      <c r="AP120" s="16"/>
      <c r="AQ120" s="16"/>
      <c r="AR120" s="16"/>
      <c r="AS120" s="16"/>
      <c r="AT120" s="16"/>
      <c r="AU120" s="16"/>
      <c r="AV120" s="16"/>
      <c r="AW120" s="16"/>
      <c r="AX120" s="16"/>
      <c r="AY120" s="16"/>
      <c r="AZ120" s="16"/>
      <c r="BA120" s="16"/>
      <c r="BB120" s="16"/>
      <c r="BC120" s="16"/>
      <c r="BD120" s="16"/>
    </row>
    <row r="121" spans="12:56" x14ac:dyDescent="0.2">
      <c r="L121" s="12"/>
      <c r="M121" s="12"/>
      <c r="N121" s="16"/>
      <c r="O121" s="12"/>
      <c r="P121" s="12"/>
      <c r="Q121" s="16"/>
      <c r="R121" s="12"/>
      <c r="S121" s="12"/>
      <c r="T121" s="16"/>
      <c r="U121" s="12"/>
      <c r="V121" s="12"/>
      <c r="W121" s="16"/>
      <c r="X121" s="12"/>
      <c r="Y121" s="12"/>
      <c r="Z121" s="16"/>
      <c r="AA121" s="12"/>
      <c r="AB121" s="12"/>
      <c r="AC121" s="16"/>
      <c r="AD121" s="12"/>
      <c r="AE121" s="12"/>
      <c r="AF121" s="16"/>
      <c r="AG121" s="12"/>
      <c r="AH121" s="12"/>
      <c r="AI121" s="16"/>
      <c r="AJ121" s="12"/>
      <c r="AK121" s="12"/>
      <c r="AL121" s="16"/>
      <c r="AM121" s="12"/>
      <c r="AN121" s="12"/>
      <c r="AO121" s="16"/>
      <c r="AP121" s="16"/>
      <c r="AQ121" s="16"/>
      <c r="AR121" s="16"/>
      <c r="AS121" s="16"/>
      <c r="AT121" s="16"/>
      <c r="AU121" s="16"/>
      <c r="AV121" s="16"/>
      <c r="AW121" s="16"/>
      <c r="AX121" s="16"/>
      <c r="AY121" s="16"/>
      <c r="AZ121" s="16"/>
      <c r="BA121" s="16"/>
      <c r="BB121" s="16"/>
      <c r="BC121" s="16"/>
      <c r="BD121" s="16"/>
    </row>
    <row r="122" spans="12:56" x14ac:dyDescent="0.2">
      <c r="L122" s="12"/>
      <c r="M122" s="12"/>
      <c r="N122" s="16"/>
      <c r="O122" s="12"/>
      <c r="P122" s="12"/>
      <c r="Q122" s="16"/>
      <c r="R122" s="12"/>
      <c r="S122" s="12"/>
      <c r="T122" s="16"/>
      <c r="U122" s="12"/>
      <c r="V122" s="12"/>
      <c r="W122" s="16"/>
      <c r="X122" s="12"/>
      <c r="Y122" s="12"/>
      <c r="Z122" s="16"/>
      <c r="AA122" s="12"/>
      <c r="AB122" s="12"/>
      <c r="AC122" s="16"/>
      <c r="AD122" s="12"/>
      <c r="AE122" s="12"/>
      <c r="AF122" s="16"/>
      <c r="AG122" s="12"/>
      <c r="AH122" s="12"/>
      <c r="AI122" s="16"/>
      <c r="AJ122" s="12"/>
      <c r="AK122" s="12"/>
      <c r="AL122" s="16"/>
      <c r="AM122" s="12"/>
      <c r="AN122" s="12"/>
      <c r="AO122" s="16"/>
      <c r="AP122" s="16"/>
      <c r="AQ122" s="16"/>
      <c r="AR122" s="16"/>
      <c r="AS122" s="16"/>
      <c r="AT122" s="16"/>
      <c r="AU122" s="16"/>
      <c r="AV122" s="16"/>
      <c r="AW122" s="16"/>
      <c r="AX122" s="16"/>
      <c r="AY122" s="16"/>
      <c r="AZ122" s="16"/>
      <c r="BA122" s="16"/>
      <c r="BB122" s="16"/>
      <c r="BC122" s="16"/>
      <c r="BD122" s="16"/>
    </row>
    <row r="123" spans="12:56" x14ac:dyDescent="0.2">
      <c r="L123" s="12"/>
      <c r="M123" s="12"/>
      <c r="N123" s="16"/>
      <c r="O123" s="12"/>
      <c r="P123" s="12"/>
      <c r="Q123" s="16"/>
      <c r="R123" s="12"/>
      <c r="S123" s="12"/>
      <c r="T123" s="16"/>
      <c r="U123" s="12"/>
      <c r="V123" s="12"/>
      <c r="W123" s="16"/>
      <c r="X123" s="12"/>
      <c r="Y123" s="12"/>
      <c r="Z123" s="16"/>
      <c r="AA123" s="12"/>
      <c r="AB123" s="12"/>
      <c r="AC123" s="16"/>
      <c r="AD123" s="12"/>
      <c r="AE123" s="12"/>
      <c r="AF123" s="16"/>
      <c r="AG123" s="12"/>
      <c r="AH123" s="12"/>
      <c r="AI123" s="16"/>
      <c r="AJ123" s="12"/>
      <c r="AK123" s="12"/>
      <c r="AL123" s="16"/>
      <c r="AM123" s="12"/>
      <c r="AN123" s="12"/>
      <c r="AO123" s="16"/>
      <c r="AP123" s="16"/>
      <c r="AQ123" s="16"/>
      <c r="AR123" s="16"/>
      <c r="AS123" s="16"/>
      <c r="AT123" s="16"/>
      <c r="AU123" s="16"/>
      <c r="AV123" s="16"/>
      <c r="AW123" s="16"/>
      <c r="AX123" s="16"/>
      <c r="AY123" s="16"/>
      <c r="AZ123" s="16"/>
      <c r="BA123" s="16"/>
      <c r="BB123" s="16"/>
      <c r="BC123" s="16"/>
      <c r="BD123" s="16"/>
    </row>
    <row r="124" spans="12:56" x14ac:dyDescent="0.2">
      <c r="L124" s="12"/>
      <c r="M124" s="12"/>
      <c r="N124" s="16"/>
      <c r="O124" s="12"/>
      <c r="P124" s="12"/>
      <c r="Q124" s="16"/>
      <c r="R124" s="12"/>
      <c r="S124" s="12"/>
      <c r="T124" s="16"/>
      <c r="U124" s="12"/>
      <c r="V124" s="12"/>
      <c r="W124" s="16"/>
      <c r="X124" s="12"/>
      <c r="Y124" s="12"/>
      <c r="Z124" s="16"/>
      <c r="AA124" s="12"/>
      <c r="AB124" s="12"/>
      <c r="AC124" s="16"/>
      <c r="AD124" s="12"/>
      <c r="AE124" s="12"/>
      <c r="AF124" s="16"/>
      <c r="AG124" s="12"/>
      <c r="AH124" s="12"/>
      <c r="AI124" s="16"/>
      <c r="AJ124" s="12"/>
      <c r="AK124" s="12"/>
      <c r="AL124" s="16"/>
      <c r="AM124" s="12"/>
      <c r="AN124" s="12"/>
      <c r="AO124" s="16"/>
      <c r="AP124" s="16"/>
      <c r="AQ124" s="16"/>
      <c r="AR124" s="16"/>
      <c r="AS124" s="16"/>
      <c r="AT124" s="16"/>
      <c r="AU124" s="16"/>
      <c r="AV124" s="16"/>
      <c r="AW124" s="16"/>
      <c r="AX124" s="16"/>
      <c r="AY124" s="16"/>
      <c r="AZ124" s="16"/>
      <c r="BA124" s="16"/>
      <c r="BB124" s="16"/>
      <c r="BC124" s="16"/>
      <c r="BD124" s="16"/>
    </row>
    <row r="125" spans="12:56" x14ac:dyDescent="0.2">
      <c r="L125" s="12"/>
      <c r="M125" s="12"/>
      <c r="N125" s="16"/>
      <c r="O125" s="12"/>
      <c r="P125" s="12"/>
      <c r="Q125" s="16"/>
      <c r="R125" s="12"/>
      <c r="S125" s="12"/>
      <c r="T125" s="16"/>
      <c r="U125" s="12"/>
      <c r="V125" s="12"/>
      <c r="W125" s="16"/>
      <c r="X125" s="12"/>
      <c r="Y125" s="12"/>
      <c r="Z125" s="16"/>
      <c r="AA125" s="12"/>
      <c r="AB125" s="12"/>
      <c r="AC125" s="16"/>
      <c r="AD125" s="12"/>
      <c r="AE125" s="12"/>
      <c r="AF125" s="16"/>
      <c r="AG125" s="12"/>
      <c r="AH125" s="12"/>
      <c r="AI125" s="16"/>
      <c r="AJ125" s="12"/>
      <c r="AK125" s="12"/>
      <c r="AL125" s="16"/>
      <c r="AM125" s="12"/>
      <c r="AN125" s="12"/>
      <c r="AO125" s="16"/>
      <c r="AP125" s="16"/>
      <c r="AQ125" s="16"/>
      <c r="AR125" s="16"/>
      <c r="AS125" s="16"/>
      <c r="AT125" s="16"/>
      <c r="AU125" s="16"/>
      <c r="AV125" s="16"/>
      <c r="AW125" s="16"/>
      <c r="AX125" s="16"/>
      <c r="AY125" s="16"/>
      <c r="AZ125" s="16"/>
      <c r="BA125" s="16"/>
      <c r="BB125" s="16"/>
      <c r="BC125" s="16"/>
      <c r="BD125" s="16"/>
    </row>
    <row r="126" spans="12:56" x14ac:dyDescent="0.2">
      <c r="L126" s="12"/>
      <c r="M126" s="12"/>
      <c r="N126" s="16"/>
      <c r="O126" s="12"/>
      <c r="P126" s="12"/>
      <c r="Q126" s="16"/>
      <c r="R126" s="12"/>
      <c r="S126" s="12"/>
      <c r="T126" s="16"/>
      <c r="U126" s="12"/>
      <c r="V126" s="12"/>
      <c r="W126" s="16"/>
      <c r="X126" s="12"/>
      <c r="Y126" s="12"/>
      <c r="Z126" s="16"/>
      <c r="AA126" s="12"/>
      <c r="AB126" s="12"/>
      <c r="AC126" s="16"/>
      <c r="AD126" s="12"/>
      <c r="AE126" s="12"/>
      <c r="AF126" s="16"/>
      <c r="AG126" s="12"/>
      <c r="AH126" s="12"/>
      <c r="AI126" s="16"/>
      <c r="AJ126" s="12"/>
      <c r="AK126" s="12"/>
      <c r="AL126" s="16"/>
      <c r="AM126" s="12"/>
      <c r="AN126" s="12"/>
      <c r="AO126" s="16"/>
      <c r="AP126" s="16"/>
      <c r="AQ126" s="16"/>
      <c r="AR126" s="16"/>
      <c r="AS126" s="16"/>
      <c r="AT126" s="16"/>
      <c r="AU126" s="16"/>
      <c r="AV126" s="16"/>
      <c r="AW126" s="16"/>
      <c r="AX126" s="16"/>
      <c r="AY126" s="16"/>
      <c r="AZ126" s="16"/>
      <c r="BA126" s="16"/>
      <c r="BB126" s="16"/>
      <c r="BC126" s="16"/>
      <c r="BD126" s="16"/>
    </row>
    <row r="127" spans="12:56" x14ac:dyDescent="0.2">
      <c r="L127" s="12"/>
      <c r="M127" s="12"/>
      <c r="N127" s="16"/>
      <c r="O127" s="12"/>
      <c r="P127" s="12"/>
      <c r="Q127" s="16"/>
      <c r="R127" s="12"/>
      <c r="S127" s="12"/>
      <c r="T127" s="16"/>
      <c r="U127" s="12"/>
      <c r="V127" s="12"/>
      <c r="W127" s="16"/>
      <c r="X127" s="12"/>
      <c r="Y127" s="12"/>
      <c r="Z127" s="16"/>
      <c r="AA127" s="12"/>
      <c r="AB127" s="12"/>
      <c r="AC127" s="16"/>
      <c r="AD127" s="12"/>
      <c r="AE127" s="12"/>
      <c r="AF127" s="16"/>
      <c r="AG127" s="12"/>
      <c r="AH127" s="12"/>
      <c r="AI127" s="16"/>
      <c r="AJ127" s="12"/>
      <c r="AK127" s="12"/>
      <c r="AL127" s="16"/>
      <c r="AM127" s="12"/>
      <c r="AN127" s="12"/>
      <c r="AO127" s="16"/>
      <c r="AP127" s="16"/>
      <c r="AQ127" s="16"/>
      <c r="AR127" s="16"/>
      <c r="AS127" s="16"/>
      <c r="AT127" s="16"/>
      <c r="AU127" s="16"/>
      <c r="AV127" s="16"/>
      <c r="AW127" s="16"/>
      <c r="AX127" s="16"/>
      <c r="AY127" s="16"/>
      <c r="AZ127" s="16"/>
      <c r="BA127" s="16"/>
      <c r="BB127" s="16"/>
      <c r="BC127" s="16"/>
      <c r="BD127" s="16"/>
    </row>
    <row r="128" spans="12:56" x14ac:dyDescent="0.2">
      <c r="L128" s="12"/>
      <c r="M128" s="12"/>
      <c r="N128" s="16"/>
      <c r="O128" s="12"/>
      <c r="P128" s="12"/>
      <c r="Q128" s="16"/>
      <c r="R128" s="12"/>
      <c r="S128" s="12"/>
      <c r="T128" s="16"/>
      <c r="U128" s="12"/>
      <c r="V128" s="12"/>
      <c r="W128" s="16"/>
      <c r="X128" s="12"/>
      <c r="Y128" s="12"/>
      <c r="Z128" s="16"/>
      <c r="AA128" s="12"/>
      <c r="AB128" s="12"/>
      <c r="AC128" s="16"/>
      <c r="AD128" s="12"/>
      <c r="AE128" s="12"/>
      <c r="AF128" s="16"/>
      <c r="AG128" s="12"/>
      <c r="AH128" s="12"/>
      <c r="AI128" s="16"/>
      <c r="AJ128" s="12"/>
      <c r="AK128" s="12"/>
      <c r="AL128" s="16"/>
      <c r="AM128" s="12"/>
      <c r="AN128" s="12"/>
      <c r="AO128" s="16"/>
      <c r="AP128" s="16"/>
      <c r="AQ128" s="16"/>
      <c r="AR128" s="16"/>
      <c r="AS128" s="16"/>
      <c r="AT128" s="16"/>
      <c r="AU128" s="16"/>
      <c r="AV128" s="16"/>
      <c r="AW128" s="16"/>
      <c r="AX128" s="16"/>
      <c r="AY128" s="16"/>
      <c r="AZ128" s="16"/>
      <c r="BA128" s="16"/>
      <c r="BB128" s="16"/>
      <c r="BC128" s="16"/>
      <c r="BD128" s="16"/>
    </row>
    <row r="129" spans="12:56" x14ac:dyDescent="0.2">
      <c r="L129" s="12"/>
      <c r="M129" s="12"/>
      <c r="N129" s="16"/>
      <c r="O129" s="12"/>
      <c r="P129" s="12"/>
      <c r="Q129" s="16"/>
      <c r="R129" s="12"/>
      <c r="S129" s="12"/>
      <c r="T129" s="16"/>
      <c r="U129" s="12"/>
      <c r="V129" s="12"/>
      <c r="W129" s="16"/>
      <c r="X129" s="12"/>
      <c r="Y129" s="12"/>
      <c r="Z129" s="16"/>
      <c r="AA129" s="12"/>
      <c r="AB129" s="12"/>
      <c r="AC129" s="16"/>
      <c r="AD129" s="12"/>
      <c r="AE129" s="12"/>
      <c r="AF129" s="16"/>
      <c r="AG129" s="12"/>
      <c r="AH129" s="12"/>
      <c r="AI129" s="16"/>
      <c r="AJ129" s="12"/>
      <c r="AK129" s="12"/>
      <c r="AL129" s="16"/>
      <c r="AM129" s="12"/>
      <c r="AN129" s="12"/>
      <c r="AO129" s="16"/>
      <c r="AP129" s="16"/>
      <c r="AQ129" s="16"/>
      <c r="AR129" s="16"/>
      <c r="AS129" s="16"/>
      <c r="AT129" s="16"/>
      <c r="AU129" s="16"/>
      <c r="AV129" s="16"/>
      <c r="AW129" s="16"/>
      <c r="AX129" s="16"/>
      <c r="AY129" s="16"/>
      <c r="AZ129" s="16"/>
      <c r="BA129" s="16"/>
      <c r="BB129" s="16"/>
      <c r="BC129" s="16"/>
      <c r="BD129" s="16"/>
    </row>
    <row r="130" spans="12:56" x14ac:dyDescent="0.2">
      <c r="L130" s="12"/>
      <c r="M130" s="12"/>
      <c r="N130" s="16"/>
      <c r="O130" s="12"/>
      <c r="P130" s="12"/>
      <c r="Q130" s="16"/>
      <c r="R130" s="12"/>
      <c r="S130" s="12"/>
      <c r="T130" s="16"/>
      <c r="U130" s="12"/>
      <c r="V130" s="12"/>
      <c r="W130" s="16"/>
      <c r="X130" s="12"/>
      <c r="Y130" s="12"/>
      <c r="Z130" s="16"/>
      <c r="AA130" s="12"/>
      <c r="AB130" s="12"/>
      <c r="AC130" s="16"/>
      <c r="AD130" s="12"/>
      <c r="AE130" s="12"/>
      <c r="AF130" s="16"/>
      <c r="AG130" s="12"/>
      <c r="AH130" s="12"/>
      <c r="AI130" s="16"/>
      <c r="AJ130" s="12"/>
      <c r="AK130" s="12"/>
      <c r="AL130" s="16"/>
      <c r="AM130" s="12"/>
      <c r="AN130" s="12"/>
      <c r="AO130" s="16"/>
      <c r="AP130" s="16"/>
      <c r="AQ130" s="16"/>
      <c r="AR130" s="16"/>
      <c r="AS130" s="16"/>
      <c r="AT130" s="16"/>
      <c r="AU130" s="16"/>
      <c r="AV130" s="16"/>
      <c r="AW130" s="16"/>
      <c r="AX130" s="16"/>
      <c r="AY130" s="16"/>
      <c r="AZ130" s="16"/>
      <c r="BA130" s="16"/>
      <c r="BB130" s="16"/>
      <c r="BC130" s="16"/>
      <c r="BD130" s="16"/>
    </row>
    <row r="131" spans="12:56" x14ac:dyDescent="0.2">
      <c r="L131" s="12"/>
      <c r="M131" s="12"/>
      <c r="N131" s="16"/>
      <c r="O131" s="12"/>
      <c r="P131" s="12"/>
      <c r="Q131" s="16"/>
      <c r="R131" s="12"/>
      <c r="S131" s="12"/>
      <c r="T131" s="16"/>
      <c r="U131" s="12"/>
      <c r="V131" s="12"/>
      <c r="W131" s="16"/>
      <c r="X131" s="12"/>
      <c r="Y131" s="12"/>
      <c r="Z131" s="16"/>
      <c r="AA131" s="12"/>
      <c r="AB131" s="12"/>
      <c r="AC131" s="16"/>
      <c r="AD131" s="12"/>
      <c r="AE131" s="12"/>
      <c r="AF131" s="16"/>
      <c r="AG131" s="12"/>
      <c r="AH131" s="12"/>
      <c r="AI131" s="16"/>
      <c r="AJ131" s="12"/>
      <c r="AK131" s="12"/>
      <c r="AL131" s="16"/>
      <c r="AM131" s="12"/>
      <c r="AN131" s="12"/>
      <c r="AO131" s="16"/>
      <c r="AP131" s="16"/>
      <c r="AQ131" s="16"/>
      <c r="AR131" s="16"/>
      <c r="AS131" s="16"/>
      <c r="AT131" s="16"/>
      <c r="AU131" s="16"/>
      <c r="AV131" s="16"/>
      <c r="AW131" s="16"/>
      <c r="AX131" s="16"/>
      <c r="AY131" s="16"/>
      <c r="AZ131" s="16"/>
      <c r="BA131" s="16"/>
      <c r="BB131" s="16"/>
      <c r="BC131" s="16"/>
      <c r="BD131" s="16"/>
    </row>
    <row r="132" spans="12:56" x14ac:dyDescent="0.2">
      <c r="L132" s="12"/>
      <c r="M132" s="12"/>
      <c r="N132" s="16"/>
      <c r="O132" s="12"/>
      <c r="P132" s="12"/>
      <c r="Q132" s="16"/>
      <c r="R132" s="12"/>
      <c r="S132" s="12"/>
      <c r="T132" s="16"/>
      <c r="U132" s="12"/>
      <c r="V132" s="12"/>
      <c r="W132" s="16"/>
      <c r="X132" s="12"/>
      <c r="Y132" s="12"/>
      <c r="Z132" s="16"/>
      <c r="AA132" s="12"/>
      <c r="AB132" s="12"/>
      <c r="AC132" s="16"/>
      <c r="AD132" s="12"/>
      <c r="AE132" s="12"/>
      <c r="AF132" s="16"/>
      <c r="AG132" s="12"/>
      <c r="AH132" s="12"/>
      <c r="AI132" s="16"/>
      <c r="AJ132" s="12"/>
      <c r="AK132" s="12"/>
      <c r="AL132" s="16"/>
      <c r="AM132" s="12"/>
      <c r="AN132" s="12"/>
      <c r="AO132" s="16"/>
      <c r="AP132" s="16"/>
      <c r="AQ132" s="16"/>
      <c r="AR132" s="16"/>
      <c r="AS132" s="16"/>
      <c r="AT132" s="16"/>
      <c r="AU132" s="16"/>
      <c r="AV132" s="16"/>
      <c r="AW132" s="16"/>
      <c r="AX132" s="16"/>
      <c r="AY132" s="16"/>
      <c r="AZ132" s="16"/>
      <c r="BA132" s="16"/>
      <c r="BB132" s="16"/>
      <c r="BC132" s="16"/>
      <c r="BD132" s="16"/>
    </row>
    <row r="133" spans="12:56" x14ac:dyDescent="0.2">
      <c r="L133" s="12"/>
      <c r="M133" s="12"/>
      <c r="N133" s="16"/>
      <c r="O133" s="12"/>
      <c r="P133" s="12"/>
      <c r="Q133" s="16"/>
      <c r="R133" s="12"/>
      <c r="S133" s="12"/>
      <c r="T133" s="16"/>
      <c r="U133" s="12"/>
      <c r="V133" s="12"/>
      <c r="W133" s="16"/>
      <c r="X133" s="12"/>
      <c r="Y133" s="12"/>
      <c r="Z133" s="16"/>
      <c r="AA133" s="12"/>
      <c r="AB133" s="12"/>
      <c r="AC133" s="16"/>
      <c r="AD133" s="12"/>
      <c r="AE133" s="12"/>
      <c r="AF133" s="16"/>
      <c r="AG133" s="12"/>
      <c r="AH133" s="12"/>
      <c r="AI133" s="16"/>
      <c r="AJ133" s="12"/>
      <c r="AK133" s="12"/>
      <c r="AL133" s="16"/>
      <c r="AM133" s="12"/>
      <c r="AN133" s="12"/>
      <c r="AO133" s="16"/>
      <c r="AP133" s="16"/>
      <c r="AQ133" s="16"/>
      <c r="AR133" s="16"/>
      <c r="AS133" s="16"/>
      <c r="AT133" s="16"/>
      <c r="AU133" s="16"/>
      <c r="AV133" s="16"/>
      <c r="AW133" s="16"/>
      <c r="AX133" s="16"/>
      <c r="AY133" s="16"/>
      <c r="AZ133" s="16"/>
      <c r="BA133" s="16"/>
      <c r="BB133" s="16"/>
      <c r="BC133" s="16"/>
      <c r="BD133" s="16"/>
    </row>
    <row r="134" spans="12:56" x14ac:dyDescent="0.2">
      <c r="L134" s="12"/>
      <c r="M134" s="12"/>
      <c r="N134" s="16"/>
      <c r="O134" s="12"/>
      <c r="P134" s="12"/>
      <c r="Q134" s="16"/>
      <c r="R134" s="12"/>
      <c r="S134" s="12"/>
      <c r="T134" s="16"/>
      <c r="U134" s="12"/>
      <c r="V134" s="12"/>
      <c r="W134" s="16"/>
      <c r="X134" s="12"/>
      <c r="Y134" s="12"/>
      <c r="Z134" s="16"/>
      <c r="AA134" s="12"/>
      <c r="AB134" s="12"/>
      <c r="AC134" s="16"/>
      <c r="AD134" s="12"/>
      <c r="AE134" s="12"/>
      <c r="AF134" s="16"/>
      <c r="AG134" s="12"/>
      <c r="AH134" s="12"/>
      <c r="AI134" s="16"/>
      <c r="AJ134" s="12"/>
      <c r="AK134" s="12"/>
      <c r="AL134" s="16"/>
      <c r="AM134" s="12"/>
      <c r="AN134" s="12"/>
      <c r="AO134" s="16"/>
      <c r="AP134" s="16"/>
      <c r="AQ134" s="16"/>
      <c r="AR134" s="16"/>
      <c r="AS134" s="16"/>
      <c r="AT134" s="16"/>
      <c r="AU134" s="16"/>
      <c r="AV134" s="16"/>
      <c r="AW134" s="16"/>
      <c r="AX134" s="16"/>
      <c r="AY134" s="16"/>
      <c r="AZ134" s="16"/>
      <c r="BA134" s="16"/>
      <c r="BB134" s="16"/>
      <c r="BC134" s="16"/>
      <c r="BD134" s="16"/>
    </row>
    <row r="135" spans="12:56" x14ac:dyDescent="0.2">
      <c r="L135" s="12"/>
      <c r="M135" s="12"/>
      <c r="N135" s="16"/>
      <c r="O135" s="12"/>
      <c r="P135" s="12"/>
      <c r="Q135" s="16"/>
      <c r="R135" s="12"/>
      <c r="S135" s="12"/>
      <c r="T135" s="16"/>
      <c r="U135" s="12"/>
      <c r="V135" s="12"/>
      <c r="W135" s="16"/>
      <c r="X135" s="12"/>
      <c r="Y135" s="12"/>
      <c r="Z135" s="16"/>
      <c r="AA135" s="12"/>
      <c r="AB135" s="12"/>
      <c r="AC135" s="16"/>
      <c r="AD135" s="12"/>
      <c r="AE135" s="12"/>
      <c r="AF135" s="16"/>
      <c r="AG135" s="12"/>
      <c r="AH135" s="12"/>
      <c r="AI135" s="16"/>
      <c r="AJ135" s="12"/>
      <c r="AK135" s="12"/>
      <c r="AL135" s="16"/>
      <c r="AM135" s="12"/>
      <c r="AN135" s="12"/>
      <c r="AO135" s="16"/>
      <c r="AP135" s="16"/>
      <c r="AQ135" s="16"/>
      <c r="AR135" s="16"/>
      <c r="AS135" s="16"/>
      <c r="AT135" s="16"/>
      <c r="AU135" s="16"/>
      <c r="AV135" s="16"/>
      <c r="AW135" s="16"/>
      <c r="AX135" s="16"/>
      <c r="AY135" s="16"/>
      <c r="AZ135" s="16"/>
      <c r="BA135" s="16"/>
      <c r="BB135" s="16"/>
      <c r="BC135" s="16"/>
      <c r="BD135" s="16"/>
    </row>
    <row r="136" spans="12:56" x14ac:dyDescent="0.2">
      <c r="L136" s="12"/>
      <c r="M136" s="12"/>
      <c r="N136" s="16"/>
      <c r="O136" s="12"/>
      <c r="P136" s="12"/>
      <c r="Q136" s="16"/>
      <c r="R136" s="12"/>
      <c r="S136" s="12"/>
      <c r="T136" s="16"/>
      <c r="U136" s="12"/>
      <c r="V136" s="12"/>
      <c r="W136" s="16"/>
      <c r="X136" s="12"/>
      <c r="Y136" s="12"/>
      <c r="Z136" s="16"/>
      <c r="AA136" s="12"/>
      <c r="AB136" s="12"/>
      <c r="AC136" s="16"/>
      <c r="AD136" s="12"/>
      <c r="AE136" s="12"/>
      <c r="AF136" s="16"/>
      <c r="AG136" s="12"/>
      <c r="AH136" s="12"/>
      <c r="AI136" s="16"/>
      <c r="AJ136" s="12"/>
      <c r="AK136" s="12"/>
      <c r="AL136" s="16"/>
      <c r="AM136" s="12"/>
      <c r="AN136" s="12"/>
      <c r="AO136" s="16"/>
      <c r="AP136" s="16"/>
      <c r="AQ136" s="16"/>
      <c r="AR136" s="16"/>
      <c r="AS136" s="16"/>
      <c r="AT136" s="16"/>
      <c r="AU136" s="16"/>
      <c r="AV136" s="16"/>
      <c r="AW136" s="16"/>
      <c r="AX136" s="16"/>
      <c r="AY136" s="16"/>
      <c r="AZ136" s="16"/>
      <c r="BA136" s="16"/>
      <c r="BB136" s="16"/>
      <c r="BC136" s="16"/>
      <c r="BD136" s="16"/>
    </row>
    <row r="137" spans="12:56" x14ac:dyDescent="0.2">
      <c r="L137" s="12"/>
      <c r="M137" s="12"/>
      <c r="N137" s="16"/>
      <c r="O137" s="12"/>
      <c r="P137" s="12"/>
      <c r="Q137" s="16"/>
      <c r="R137" s="12"/>
      <c r="S137" s="12"/>
      <c r="T137" s="16"/>
      <c r="U137" s="12"/>
      <c r="V137" s="12"/>
      <c r="W137" s="16"/>
      <c r="X137" s="12"/>
      <c r="Y137" s="12"/>
      <c r="Z137" s="16"/>
      <c r="AA137" s="12"/>
      <c r="AB137" s="12"/>
      <c r="AC137" s="16"/>
      <c r="AD137" s="12"/>
      <c r="AE137" s="12"/>
      <c r="AF137" s="16"/>
      <c r="AG137" s="12"/>
      <c r="AH137" s="12"/>
      <c r="AI137" s="16"/>
      <c r="AJ137" s="12"/>
      <c r="AK137" s="12"/>
      <c r="AL137" s="16"/>
      <c r="AM137" s="12"/>
      <c r="AN137" s="12"/>
      <c r="AO137" s="16"/>
      <c r="AP137" s="16"/>
      <c r="AQ137" s="16"/>
      <c r="AR137" s="16"/>
      <c r="AS137" s="16"/>
      <c r="AT137" s="16"/>
      <c r="AU137" s="16"/>
      <c r="AV137" s="16"/>
      <c r="AW137" s="16"/>
      <c r="AX137" s="16"/>
      <c r="AY137" s="16"/>
      <c r="AZ137" s="16"/>
      <c r="BA137" s="16"/>
      <c r="BB137" s="16"/>
      <c r="BC137" s="16"/>
      <c r="BD137" s="16"/>
    </row>
    <row r="138" spans="12:56" x14ac:dyDescent="0.2">
      <c r="L138" s="12"/>
      <c r="M138" s="12"/>
      <c r="N138" s="16"/>
      <c r="O138" s="12"/>
      <c r="P138" s="12"/>
      <c r="Q138" s="16"/>
      <c r="R138" s="12"/>
      <c r="S138" s="12"/>
      <c r="T138" s="16"/>
      <c r="U138" s="12"/>
      <c r="V138" s="12"/>
      <c r="W138" s="16"/>
      <c r="X138" s="12"/>
      <c r="Y138" s="12"/>
      <c r="Z138" s="16"/>
      <c r="AA138" s="12"/>
      <c r="AB138" s="12"/>
      <c r="AC138" s="16"/>
      <c r="AD138" s="12"/>
      <c r="AE138" s="12"/>
      <c r="AF138" s="16"/>
      <c r="AG138" s="12"/>
      <c r="AH138" s="12"/>
      <c r="AI138" s="16"/>
      <c r="AJ138" s="12"/>
      <c r="AK138" s="12"/>
      <c r="AL138" s="16"/>
      <c r="AM138" s="12"/>
      <c r="AN138" s="12"/>
      <c r="AO138" s="16"/>
      <c r="AP138" s="16"/>
      <c r="AQ138" s="16"/>
      <c r="AR138" s="16"/>
      <c r="AS138" s="16"/>
      <c r="AT138" s="16"/>
      <c r="AU138" s="16"/>
      <c r="AV138" s="16"/>
      <c r="AW138" s="16"/>
      <c r="AX138" s="16"/>
      <c r="AY138" s="16"/>
      <c r="AZ138" s="16"/>
      <c r="BA138" s="16"/>
      <c r="BB138" s="16"/>
      <c r="BC138" s="16"/>
      <c r="BD138" s="16"/>
    </row>
    <row r="139" spans="12:56" x14ac:dyDescent="0.2">
      <c r="L139" s="12"/>
      <c r="M139" s="12"/>
      <c r="N139" s="16"/>
      <c r="O139" s="12"/>
      <c r="P139" s="12"/>
      <c r="Q139" s="16"/>
      <c r="R139" s="12"/>
      <c r="S139" s="12"/>
      <c r="T139" s="16"/>
      <c r="U139" s="12"/>
      <c r="V139" s="12"/>
      <c r="W139" s="16"/>
      <c r="X139" s="12"/>
      <c r="Y139" s="12"/>
      <c r="Z139" s="16"/>
      <c r="AA139" s="12"/>
      <c r="AB139" s="12"/>
      <c r="AC139" s="16"/>
      <c r="AD139" s="12"/>
      <c r="AE139" s="12"/>
      <c r="AF139" s="16"/>
      <c r="AG139" s="12"/>
      <c r="AH139" s="12"/>
      <c r="AI139" s="16"/>
      <c r="AJ139" s="12"/>
      <c r="AK139" s="12"/>
      <c r="AL139" s="16"/>
      <c r="AM139" s="12"/>
      <c r="AN139" s="12"/>
      <c r="AO139" s="16"/>
      <c r="AP139" s="16"/>
      <c r="AQ139" s="16"/>
      <c r="AR139" s="16"/>
      <c r="AS139" s="16"/>
      <c r="AT139" s="16"/>
      <c r="AU139" s="16"/>
      <c r="AV139" s="16"/>
      <c r="AW139" s="16"/>
      <c r="AX139" s="16"/>
      <c r="AY139" s="16"/>
      <c r="AZ139" s="16"/>
      <c r="BA139" s="16"/>
      <c r="BB139" s="16"/>
      <c r="BC139" s="16"/>
      <c r="BD139" s="16"/>
    </row>
    <row r="140" spans="12:56" x14ac:dyDescent="0.2">
      <c r="L140" s="12"/>
      <c r="M140" s="12"/>
      <c r="N140" s="16"/>
      <c r="O140" s="12"/>
      <c r="P140" s="12"/>
      <c r="Q140" s="16"/>
      <c r="R140" s="12"/>
      <c r="S140" s="12"/>
      <c r="T140" s="16"/>
      <c r="U140" s="12"/>
      <c r="V140" s="12"/>
      <c r="W140" s="16"/>
      <c r="X140" s="12"/>
      <c r="Y140" s="12"/>
      <c r="Z140" s="16"/>
      <c r="AA140" s="12"/>
      <c r="AB140" s="12"/>
      <c r="AC140" s="16"/>
      <c r="AD140" s="12"/>
      <c r="AE140" s="12"/>
      <c r="AF140" s="16"/>
      <c r="AG140" s="12"/>
      <c r="AH140" s="12"/>
      <c r="AI140" s="16"/>
      <c r="AJ140" s="12"/>
      <c r="AK140" s="12"/>
      <c r="AL140" s="16"/>
      <c r="AM140" s="12"/>
      <c r="AN140" s="12"/>
      <c r="AO140" s="16"/>
      <c r="AP140" s="16"/>
      <c r="AQ140" s="16"/>
      <c r="AR140" s="16"/>
      <c r="AS140" s="16"/>
      <c r="AT140" s="16"/>
      <c r="AU140" s="16"/>
      <c r="AV140" s="16"/>
      <c r="AW140" s="16"/>
      <c r="AX140" s="16"/>
      <c r="AY140" s="16"/>
      <c r="AZ140" s="16"/>
      <c r="BA140" s="16"/>
      <c r="BB140" s="16"/>
      <c r="BC140" s="16"/>
      <c r="BD140" s="16"/>
    </row>
    <row r="141" spans="12:56" x14ac:dyDescent="0.2">
      <c r="L141" s="12"/>
      <c r="M141" s="12"/>
      <c r="N141" s="16"/>
      <c r="O141" s="12"/>
      <c r="P141" s="12"/>
      <c r="Q141" s="16"/>
      <c r="R141" s="12"/>
      <c r="S141" s="12"/>
      <c r="T141" s="16"/>
      <c r="U141" s="12"/>
      <c r="V141" s="12"/>
      <c r="W141" s="16"/>
      <c r="X141" s="12"/>
      <c r="Y141" s="12"/>
      <c r="Z141" s="16"/>
      <c r="AA141" s="12"/>
      <c r="AB141" s="12"/>
      <c r="AC141" s="16"/>
      <c r="AD141" s="12"/>
      <c r="AE141" s="12"/>
      <c r="AF141" s="16"/>
      <c r="AG141" s="12"/>
      <c r="AH141" s="12"/>
      <c r="AI141" s="16"/>
      <c r="AJ141" s="12"/>
      <c r="AK141" s="12"/>
      <c r="AL141" s="16"/>
      <c r="AM141" s="12"/>
      <c r="AN141" s="12"/>
      <c r="AO141" s="16"/>
      <c r="AP141" s="16"/>
      <c r="AQ141" s="16"/>
      <c r="AR141" s="16"/>
      <c r="AS141" s="16"/>
      <c r="AT141" s="16"/>
      <c r="AU141" s="16"/>
      <c r="AV141" s="16"/>
      <c r="AW141" s="16"/>
      <c r="AX141" s="16"/>
      <c r="AY141" s="16"/>
      <c r="AZ141" s="16"/>
      <c r="BA141" s="16"/>
      <c r="BB141" s="16"/>
      <c r="BC141" s="16"/>
      <c r="BD141" s="16"/>
    </row>
    <row r="142" spans="12:56" x14ac:dyDescent="0.2">
      <c r="L142" s="12"/>
      <c r="M142" s="12"/>
      <c r="N142" s="16"/>
      <c r="O142" s="12"/>
      <c r="P142" s="12"/>
      <c r="Q142" s="16"/>
      <c r="R142" s="12"/>
      <c r="S142" s="12"/>
      <c r="T142" s="16"/>
      <c r="U142" s="12"/>
      <c r="V142" s="12"/>
      <c r="W142" s="16"/>
      <c r="X142" s="12"/>
      <c r="Y142" s="12"/>
      <c r="Z142" s="16"/>
      <c r="AA142" s="12"/>
      <c r="AB142" s="12"/>
      <c r="AC142" s="16"/>
      <c r="AD142" s="12"/>
      <c r="AE142" s="12"/>
      <c r="AF142" s="16"/>
      <c r="AG142" s="12"/>
      <c r="AH142" s="12"/>
      <c r="AI142" s="16"/>
      <c r="AJ142" s="12"/>
      <c r="AK142" s="12"/>
      <c r="AL142" s="16"/>
      <c r="AM142" s="12"/>
      <c r="AN142" s="12"/>
      <c r="AO142" s="16"/>
      <c r="AP142" s="16"/>
      <c r="AQ142" s="16"/>
      <c r="AR142" s="16"/>
      <c r="AS142" s="16"/>
      <c r="AT142" s="16"/>
      <c r="AU142" s="16"/>
      <c r="AV142" s="16"/>
      <c r="AW142" s="16"/>
      <c r="AX142" s="16"/>
      <c r="AY142" s="16"/>
      <c r="AZ142" s="16"/>
      <c r="BA142" s="16"/>
      <c r="BB142" s="16"/>
      <c r="BC142" s="16"/>
      <c r="BD142" s="16"/>
    </row>
    <row r="143" spans="12:56" x14ac:dyDescent="0.2">
      <c r="L143" s="12"/>
      <c r="M143" s="12"/>
      <c r="N143" s="16"/>
      <c r="O143" s="12"/>
      <c r="P143" s="12"/>
      <c r="Q143" s="16"/>
      <c r="R143" s="12"/>
      <c r="S143" s="12"/>
      <c r="T143" s="16"/>
      <c r="U143" s="12"/>
      <c r="V143" s="12"/>
      <c r="W143" s="16"/>
      <c r="X143" s="12"/>
      <c r="Y143" s="12"/>
      <c r="Z143" s="16"/>
      <c r="AA143" s="12"/>
      <c r="AB143" s="12"/>
      <c r="AC143" s="16"/>
      <c r="AD143" s="12"/>
      <c r="AE143" s="12"/>
      <c r="AF143" s="16"/>
      <c r="AG143" s="12"/>
      <c r="AH143" s="12"/>
      <c r="AI143" s="16"/>
      <c r="AJ143" s="12"/>
      <c r="AK143" s="12"/>
      <c r="AL143" s="16"/>
      <c r="AM143" s="12"/>
      <c r="AN143" s="12"/>
      <c r="AO143" s="16"/>
      <c r="AP143" s="16"/>
      <c r="AQ143" s="16"/>
      <c r="AR143" s="16"/>
      <c r="AS143" s="16"/>
      <c r="AT143" s="16"/>
      <c r="AU143" s="16"/>
      <c r="AV143" s="16"/>
      <c r="AW143" s="16"/>
      <c r="AX143" s="16"/>
      <c r="AY143" s="16"/>
      <c r="AZ143" s="16"/>
      <c r="BA143" s="16"/>
      <c r="BB143" s="16"/>
      <c r="BC143" s="16"/>
      <c r="BD143" s="16"/>
    </row>
    <row r="144" spans="12:56" x14ac:dyDescent="0.2">
      <c r="L144" s="12"/>
      <c r="M144" s="12"/>
      <c r="N144" s="16"/>
      <c r="O144" s="12"/>
      <c r="P144" s="12"/>
      <c r="Q144" s="16"/>
      <c r="R144" s="12"/>
      <c r="S144" s="12"/>
      <c r="T144" s="16"/>
      <c r="U144" s="12"/>
      <c r="V144" s="12"/>
      <c r="W144" s="16"/>
      <c r="X144" s="12"/>
      <c r="Y144" s="12"/>
      <c r="Z144" s="16"/>
      <c r="AA144" s="12"/>
      <c r="AB144" s="12"/>
      <c r="AC144" s="16"/>
      <c r="AD144" s="12"/>
      <c r="AE144" s="12"/>
      <c r="AF144" s="16"/>
      <c r="AG144" s="12"/>
      <c r="AH144" s="12"/>
      <c r="AI144" s="16"/>
      <c r="AJ144" s="12"/>
      <c r="AK144" s="12"/>
      <c r="AL144" s="16"/>
      <c r="AM144" s="12"/>
      <c r="AN144" s="12"/>
      <c r="AO144" s="16"/>
      <c r="AP144" s="16"/>
      <c r="AQ144" s="16"/>
      <c r="AR144" s="16"/>
      <c r="AS144" s="16"/>
      <c r="AT144" s="16"/>
      <c r="AU144" s="16"/>
      <c r="AV144" s="16"/>
      <c r="AW144" s="16"/>
      <c r="AX144" s="16"/>
      <c r="AY144" s="16"/>
      <c r="AZ144" s="16"/>
      <c r="BA144" s="16"/>
      <c r="BB144" s="16"/>
      <c r="BC144" s="16"/>
      <c r="BD144" s="16"/>
    </row>
    <row r="145" spans="12:56" x14ac:dyDescent="0.2">
      <c r="L145" s="12"/>
      <c r="M145" s="12"/>
      <c r="N145" s="16"/>
      <c r="O145" s="12"/>
      <c r="P145" s="12"/>
      <c r="Q145" s="16"/>
      <c r="R145" s="12"/>
      <c r="S145" s="12"/>
      <c r="T145" s="16"/>
      <c r="U145" s="12"/>
      <c r="V145" s="12"/>
      <c r="W145" s="16"/>
      <c r="X145" s="12"/>
      <c r="Y145" s="12"/>
      <c r="Z145" s="16"/>
      <c r="AA145" s="12"/>
      <c r="AB145" s="12"/>
      <c r="AC145" s="16"/>
      <c r="AD145" s="12"/>
      <c r="AE145" s="12"/>
      <c r="AF145" s="16"/>
      <c r="AG145" s="12"/>
      <c r="AH145" s="12"/>
      <c r="AI145" s="16"/>
      <c r="AJ145" s="12"/>
      <c r="AK145" s="12"/>
      <c r="AL145" s="16"/>
      <c r="AM145" s="12"/>
      <c r="AN145" s="12"/>
      <c r="AO145" s="16"/>
      <c r="AP145" s="16"/>
      <c r="AQ145" s="16"/>
      <c r="AR145" s="16"/>
      <c r="AS145" s="16"/>
      <c r="AT145" s="16"/>
      <c r="AU145" s="16"/>
      <c r="AV145" s="16"/>
      <c r="AW145" s="16"/>
      <c r="AX145" s="16"/>
      <c r="AY145" s="16"/>
      <c r="AZ145" s="16"/>
      <c r="BA145" s="16"/>
      <c r="BB145" s="16"/>
      <c r="BC145" s="16"/>
      <c r="BD145" s="16"/>
    </row>
    <row r="146" spans="12:56" x14ac:dyDescent="0.2">
      <c r="L146" s="12"/>
      <c r="M146" s="12"/>
      <c r="N146" s="16"/>
      <c r="O146" s="12"/>
      <c r="P146" s="12"/>
      <c r="Q146" s="16"/>
      <c r="R146" s="12"/>
      <c r="S146" s="12"/>
      <c r="T146" s="16"/>
      <c r="U146" s="12"/>
      <c r="V146" s="12"/>
      <c r="W146" s="16"/>
      <c r="X146" s="12"/>
      <c r="Y146" s="12"/>
      <c r="Z146" s="16"/>
      <c r="AA146" s="12"/>
      <c r="AB146" s="12"/>
      <c r="AC146" s="16"/>
      <c r="AD146" s="12"/>
      <c r="AE146" s="12"/>
      <c r="AF146" s="16"/>
      <c r="AG146" s="12"/>
      <c r="AH146" s="12"/>
      <c r="AI146" s="16"/>
      <c r="AJ146" s="12"/>
      <c r="AK146" s="12"/>
      <c r="AL146" s="16"/>
      <c r="AM146" s="12"/>
      <c r="AN146" s="12"/>
      <c r="AO146" s="16"/>
      <c r="AP146" s="16"/>
      <c r="AQ146" s="16"/>
      <c r="AR146" s="16"/>
      <c r="AS146" s="16"/>
      <c r="AT146" s="16"/>
      <c r="AU146" s="16"/>
      <c r="AV146" s="16"/>
      <c r="AW146" s="16"/>
      <c r="AX146" s="16"/>
      <c r="AY146" s="16"/>
      <c r="AZ146" s="16"/>
      <c r="BA146" s="16"/>
      <c r="BB146" s="16"/>
      <c r="BC146" s="16"/>
      <c r="BD146" s="16"/>
    </row>
    <row r="147" spans="12:56" x14ac:dyDescent="0.2">
      <c r="L147" s="12"/>
      <c r="M147" s="12"/>
      <c r="N147" s="16"/>
      <c r="O147" s="12"/>
      <c r="P147" s="12"/>
      <c r="Q147" s="16"/>
      <c r="R147" s="12"/>
      <c r="S147" s="12"/>
      <c r="T147" s="16"/>
      <c r="U147" s="12"/>
      <c r="V147" s="12"/>
      <c r="W147" s="16"/>
      <c r="X147" s="12"/>
      <c r="Y147" s="12"/>
      <c r="Z147" s="16"/>
      <c r="AA147" s="12"/>
      <c r="AB147" s="12"/>
      <c r="AC147" s="16"/>
      <c r="AD147" s="12"/>
      <c r="AE147" s="12"/>
      <c r="AF147" s="16"/>
      <c r="AG147" s="12"/>
      <c r="AH147" s="12"/>
      <c r="AI147" s="16"/>
      <c r="AJ147" s="12"/>
      <c r="AK147" s="12"/>
      <c r="AL147" s="16"/>
      <c r="AM147" s="12"/>
      <c r="AN147" s="12"/>
      <c r="AO147" s="16"/>
      <c r="AP147" s="16"/>
      <c r="AQ147" s="16"/>
      <c r="AR147" s="16"/>
      <c r="AS147" s="16"/>
      <c r="AT147" s="16"/>
      <c r="AU147" s="16"/>
      <c r="AV147" s="16"/>
      <c r="AW147" s="16"/>
      <c r="AX147" s="16"/>
      <c r="AY147" s="16"/>
      <c r="AZ147" s="16"/>
      <c r="BA147" s="16"/>
      <c r="BB147" s="16"/>
      <c r="BC147" s="16"/>
      <c r="BD147" s="16"/>
    </row>
    <row r="148" spans="12:56" x14ac:dyDescent="0.2">
      <c r="L148" s="12"/>
      <c r="M148" s="12"/>
      <c r="N148" s="16"/>
      <c r="O148" s="12"/>
      <c r="P148" s="12"/>
      <c r="Q148" s="16"/>
      <c r="R148" s="12"/>
      <c r="S148" s="12"/>
      <c r="T148" s="16"/>
      <c r="U148" s="12"/>
      <c r="V148" s="12"/>
      <c r="W148" s="16"/>
      <c r="X148" s="12"/>
      <c r="Y148" s="12"/>
      <c r="Z148" s="16"/>
      <c r="AA148" s="12"/>
      <c r="AB148" s="12"/>
      <c r="AC148" s="16"/>
      <c r="AD148" s="12"/>
      <c r="AE148" s="12"/>
      <c r="AF148" s="16"/>
      <c r="AG148" s="12"/>
      <c r="AH148" s="12"/>
      <c r="AI148" s="16"/>
      <c r="AJ148" s="12"/>
      <c r="AK148" s="12"/>
      <c r="AL148" s="16"/>
      <c r="AM148" s="12"/>
      <c r="AN148" s="12"/>
      <c r="AO148" s="16"/>
      <c r="AP148" s="16"/>
      <c r="AQ148" s="16"/>
      <c r="AR148" s="16"/>
      <c r="AS148" s="16"/>
      <c r="AT148" s="16"/>
      <c r="AU148" s="16"/>
      <c r="AV148" s="16"/>
      <c r="AW148" s="16"/>
      <c r="AX148" s="16"/>
      <c r="AY148" s="16"/>
      <c r="AZ148" s="16"/>
      <c r="BA148" s="16"/>
      <c r="BB148" s="16"/>
      <c r="BC148" s="16"/>
      <c r="BD148" s="16"/>
    </row>
    <row r="149" spans="12:56" x14ac:dyDescent="0.2">
      <c r="L149" s="12"/>
      <c r="M149" s="12"/>
      <c r="N149" s="16"/>
      <c r="O149" s="12"/>
      <c r="P149" s="12"/>
      <c r="Q149" s="16"/>
      <c r="R149" s="12"/>
      <c r="S149" s="12"/>
      <c r="T149" s="16"/>
      <c r="U149" s="12"/>
      <c r="V149" s="12"/>
      <c r="W149" s="16"/>
      <c r="X149" s="12"/>
      <c r="Y149" s="12"/>
      <c r="Z149" s="16"/>
      <c r="AA149" s="12"/>
      <c r="AB149" s="12"/>
      <c r="AC149" s="16"/>
      <c r="AD149" s="12"/>
      <c r="AE149" s="12"/>
      <c r="AF149" s="16"/>
      <c r="AG149" s="12"/>
      <c r="AH149" s="12"/>
      <c r="AI149" s="16"/>
      <c r="AJ149" s="12"/>
      <c r="AK149" s="12"/>
      <c r="AL149" s="16"/>
      <c r="AM149" s="12"/>
      <c r="AN149" s="12"/>
      <c r="AO149" s="16"/>
      <c r="AP149" s="16"/>
      <c r="AQ149" s="16"/>
      <c r="AR149" s="16"/>
      <c r="AS149" s="16"/>
      <c r="AT149" s="16"/>
      <c r="AU149" s="16"/>
      <c r="AV149" s="16"/>
      <c r="AW149" s="16"/>
      <c r="AX149" s="16"/>
      <c r="AY149" s="16"/>
      <c r="AZ149" s="16"/>
      <c r="BA149" s="16"/>
      <c r="BB149" s="16"/>
      <c r="BC149" s="16"/>
      <c r="BD149" s="16"/>
    </row>
    <row r="150" spans="12:56" x14ac:dyDescent="0.2">
      <c r="L150" s="12"/>
      <c r="M150" s="12"/>
      <c r="N150" s="16"/>
      <c r="O150" s="12"/>
      <c r="P150" s="12"/>
      <c r="Q150" s="16"/>
      <c r="R150" s="12"/>
      <c r="S150" s="12"/>
      <c r="T150" s="16"/>
      <c r="U150" s="12"/>
      <c r="V150" s="12"/>
      <c r="W150" s="16"/>
      <c r="X150" s="12"/>
      <c r="Y150" s="12"/>
      <c r="Z150" s="16"/>
      <c r="AA150" s="12"/>
      <c r="AB150" s="12"/>
      <c r="AC150" s="16"/>
      <c r="AD150" s="12"/>
      <c r="AE150" s="12"/>
      <c r="AF150" s="16"/>
      <c r="AG150" s="12"/>
      <c r="AH150" s="12"/>
      <c r="AI150" s="16"/>
      <c r="AJ150" s="12"/>
      <c r="AK150" s="12"/>
      <c r="AL150" s="16"/>
      <c r="AM150" s="12"/>
      <c r="AN150" s="12"/>
      <c r="AO150" s="16"/>
      <c r="AP150" s="16"/>
      <c r="AQ150" s="16"/>
      <c r="AR150" s="16"/>
      <c r="AS150" s="16"/>
      <c r="AT150" s="16"/>
      <c r="AU150" s="16"/>
      <c r="AV150" s="16"/>
      <c r="AW150" s="16"/>
      <c r="AX150" s="16"/>
      <c r="AY150" s="16"/>
      <c r="AZ150" s="16"/>
      <c r="BA150" s="16"/>
      <c r="BB150" s="16"/>
      <c r="BC150" s="16"/>
      <c r="BD150" s="16"/>
    </row>
    <row r="151" spans="12:56" x14ac:dyDescent="0.2">
      <c r="L151" s="12"/>
      <c r="M151" s="12"/>
      <c r="N151" s="16"/>
      <c r="O151" s="12"/>
      <c r="P151" s="12"/>
      <c r="Q151" s="16"/>
      <c r="R151" s="12"/>
      <c r="S151" s="12"/>
      <c r="T151" s="16"/>
      <c r="U151" s="12"/>
      <c r="V151" s="12"/>
      <c r="W151" s="16"/>
      <c r="X151" s="12"/>
      <c r="Y151" s="12"/>
      <c r="Z151" s="16"/>
      <c r="AA151" s="12"/>
      <c r="AB151" s="12"/>
      <c r="AC151" s="16"/>
      <c r="AD151" s="12"/>
      <c r="AE151" s="12"/>
      <c r="AF151" s="16"/>
      <c r="AG151" s="12"/>
      <c r="AH151" s="12"/>
      <c r="AI151" s="16"/>
      <c r="AJ151" s="12"/>
      <c r="AK151" s="12"/>
      <c r="AL151" s="16"/>
      <c r="AM151" s="12"/>
      <c r="AN151" s="12"/>
      <c r="AO151" s="16"/>
      <c r="AP151" s="16"/>
      <c r="AQ151" s="16"/>
      <c r="AR151" s="16"/>
      <c r="AS151" s="16"/>
      <c r="AT151" s="16"/>
      <c r="AU151" s="16"/>
      <c r="AV151" s="16"/>
      <c r="AW151" s="16"/>
      <c r="AX151" s="16"/>
      <c r="AY151" s="16"/>
      <c r="AZ151" s="16"/>
      <c r="BA151" s="16"/>
      <c r="BB151" s="16"/>
      <c r="BC151" s="16"/>
      <c r="BD151" s="16"/>
    </row>
    <row r="152" spans="12:56" x14ac:dyDescent="0.2">
      <c r="L152" s="12"/>
      <c r="M152" s="12"/>
      <c r="N152" s="16"/>
      <c r="O152" s="12"/>
      <c r="P152" s="12"/>
      <c r="Q152" s="16"/>
      <c r="R152" s="12"/>
      <c r="S152" s="12"/>
      <c r="T152" s="16"/>
      <c r="U152" s="12"/>
      <c r="V152" s="12"/>
      <c r="W152" s="16"/>
      <c r="X152" s="12"/>
      <c r="Y152" s="12"/>
      <c r="Z152" s="16"/>
      <c r="AA152" s="12"/>
      <c r="AB152" s="12"/>
      <c r="AC152" s="16"/>
      <c r="AD152" s="12"/>
      <c r="AE152" s="12"/>
      <c r="AF152" s="16"/>
      <c r="AG152" s="12"/>
      <c r="AH152" s="12"/>
      <c r="AI152" s="16"/>
      <c r="AJ152" s="12"/>
      <c r="AK152" s="12"/>
      <c r="AL152" s="16"/>
      <c r="AM152" s="12"/>
      <c r="AN152" s="12"/>
      <c r="AO152" s="16"/>
      <c r="AP152" s="16"/>
      <c r="AQ152" s="16"/>
      <c r="AR152" s="16"/>
      <c r="AS152" s="16"/>
      <c r="AT152" s="16"/>
      <c r="AU152" s="16"/>
      <c r="AV152" s="16"/>
      <c r="AW152" s="16"/>
      <c r="AX152" s="16"/>
      <c r="AY152" s="16"/>
      <c r="AZ152" s="16"/>
      <c r="BA152" s="16"/>
      <c r="BB152" s="16"/>
      <c r="BC152" s="16"/>
      <c r="BD152" s="16"/>
    </row>
    <row r="153" spans="12:56" x14ac:dyDescent="0.2">
      <c r="L153" s="12"/>
      <c r="M153" s="12"/>
      <c r="N153" s="16"/>
      <c r="O153" s="12"/>
      <c r="P153" s="12"/>
      <c r="Q153" s="16"/>
      <c r="R153" s="12"/>
      <c r="S153" s="12"/>
      <c r="T153" s="16"/>
      <c r="U153" s="12"/>
      <c r="V153" s="12"/>
      <c r="W153" s="16"/>
      <c r="X153" s="12"/>
      <c r="Y153" s="12"/>
      <c r="Z153" s="16"/>
      <c r="AA153" s="12"/>
      <c r="AB153" s="12"/>
      <c r="AC153" s="16"/>
      <c r="AD153" s="12"/>
      <c r="AE153" s="12"/>
      <c r="AF153" s="16"/>
      <c r="AG153" s="12"/>
      <c r="AH153" s="12"/>
      <c r="AI153" s="16"/>
      <c r="AJ153" s="12"/>
      <c r="AK153" s="12"/>
      <c r="AL153" s="16"/>
      <c r="AM153" s="12"/>
      <c r="AN153" s="12"/>
      <c r="AO153" s="16"/>
      <c r="AP153" s="16"/>
      <c r="AQ153" s="16"/>
      <c r="AR153" s="16"/>
      <c r="AS153" s="16"/>
      <c r="AT153" s="16"/>
      <c r="AU153" s="16"/>
      <c r="AV153" s="16"/>
      <c r="AW153" s="16"/>
      <c r="AX153" s="16"/>
      <c r="AY153" s="16"/>
      <c r="AZ153" s="16"/>
      <c r="BA153" s="16"/>
      <c r="BB153" s="16"/>
      <c r="BC153" s="16"/>
      <c r="BD153" s="16"/>
    </row>
  </sheetData>
  <sheetProtection formatRows="0" insertRows="0" selectLockedCells="1"/>
  <protectedRanges>
    <protectedRange password="F692" sqref="B16:C16 E16:G16 B55:H55 E43:G43 B20:C20 E20:G20 B43:C43 E24:G24 B24:C24 E40:G40 B40:C40 B17:H19 B21:H23 B25:H39 B15:H15 B41:H42 B44:H46 B48:D48 B53:D53 B49:C52 E48:H54 B54:C54 C58:H58" name="Rango1_1_1_2"/>
    <protectedRange password="F692" sqref="J53 J48 J58 M53 P53 M58 P58 M48 P48 S53 V53 Y53 AB53 AE53 AH53 AK53 AN53 AQ53 AT53 AW53 AZ53 BC53 S58 V58 Y58 AB58 AE58 AH58 AK58 AN58 AQ58 AT58 AW58 AZ58 BC58 S48 V48 Y48 AB48 AE48 AH48 AK48 AN48 AQ48 AT48 AW48 AZ48 BC48" name="Rango1_1_1_3"/>
    <protectedRange password="F692" sqref="J54:J55 M54:M55 P54:P55 S54:S55 V54:V55 Y54:Y55 AB54:AB55 AE54:AE55 AH54:AH55 AK54:AK55 AN54:AN55 AQ54:AQ55 AT54:AT55 AW54:AW55 AZ54:AZ55 BC54:BC55" name="Rango1_1_1_3_2"/>
    <protectedRange password="F692" sqref="B14:C14 E14:H14 H16 H43 H20 H24 H40" name="Rango1_1_1_2_3"/>
    <protectedRange password="F692" sqref="J56:J57 M56:M57 P56:P57 S56:S57 V56:V57 Y56:Y57 AB56:AB57 AE56:AE57 AH56:AH57 AK56:AK57 AN56:AN57 AQ56:AQ57 AT56:AT57 AW56:AW57 AZ56:AZ57 BC56:BC57" name="Rango1_1_1_3_6"/>
    <protectedRange password="F692" sqref="H56:H57" name="Rango1_1_1_2_2_1"/>
    <protectedRange password="F692" sqref="E56:G57" name="Rango1_1_1_1_1_1_1"/>
    <protectedRange password="F692" sqref="B47:H47" name="Rango1_1_1_2_4"/>
  </protectedRanges>
  <mergeCells count="114">
    <mergeCell ref="AV61:AX64"/>
    <mergeCell ref="B1:H1"/>
    <mergeCell ref="B2:H2"/>
    <mergeCell ref="B3:H3"/>
    <mergeCell ref="B4:H4"/>
    <mergeCell ref="B5:H5"/>
    <mergeCell ref="B7:H7"/>
    <mergeCell ref="B9:H9"/>
    <mergeCell ref="AV12:AX12"/>
    <mergeCell ref="AM10:AO10"/>
    <mergeCell ref="AM11:AO11"/>
    <mergeCell ref="AM12:AO12"/>
    <mergeCell ref="U10:W10"/>
    <mergeCell ref="U11:W11"/>
    <mergeCell ref="U12:W12"/>
    <mergeCell ref="AV10:AX10"/>
    <mergeCell ref="AV11:AX11"/>
    <mergeCell ref="AY12:BA12"/>
    <mergeCell ref="BB10:BD10"/>
    <mergeCell ref="BB11:BD11"/>
    <mergeCell ref="BB12:BD12"/>
    <mergeCell ref="AP10:AR10"/>
    <mergeCell ref="AP11:AR11"/>
    <mergeCell ref="AP12:AR12"/>
    <mergeCell ref="AS10:AU10"/>
    <mergeCell ref="AS11:AU11"/>
    <mergeCell ref="AS12:AU12"/>
    <mergeCell ref="AY10:BA10"/>
    <mergeCell ref="AY11:BA11"/>
    <mergeCell ref="AJ10:AL10"/>
    <mergeCell ref="AJ11:AL11"/>
    <mergeCell ref="AJ12:AL12"/>
    <mergeCell ref="AG10:AI10"/>
    <mergeCell ref="AG11:AI11"/>
    <mergeCell ref="AG12:AI12"/>
    <mergeCell ref="AA10:AC10"/>
    <mergeCell ref="AA11:AC11"/>
    <mergeCell ref="AA12:AC12"/>
    <mergeCell ref="AD10:AF10"/>
    <mergeCell ref="AD11:AF11"/>
    <mergeCell ref="AD12:AF12"/>
    <mergeCell ref="X10:Z10"/>
    <mergeCell ref="X11:Z11"/>
    <mergeCell ref="X12:Z12"/>
    <mergeCell ref="X60:Z60"/>
    <mergeCell ref="X61:Z64"/>
    <mergeCell ref="R10:T10"/>
    <mergeCell ref="R11:T11"/>
    <mergeCell ref="R12:T12"/>
    <mergeCell ref="R60:T60"/>
    <mergeCell ref="R61:T64"/>
    <mergeCell ref="B11:H11"/>
    <mergeCell ref="B12:H12"/>
    <mergeCell ref="I61:K64"/>
    <mergeCell ref="I60:K60"/>
    <mergeCell ref="I11:K11"/>
    <mergeCell ref="I12:K12"/>
    <mergeCell ref="O10:Q10"/>
    <mergeCell ref="O11:Q11"/>
    <mergeCell ref="O12:Q12"/>
    <mergeCell ref="O60:Q60"/>
    <mergeCell ref="O61:Q64"/>
    <mergeCell ref="L10:N10"/>
    <mergeCell ref="L11:N11"/>
    <mergeCell ref="L12:N12"/>
    <mergeCell ref="L60:N60"/>
    <mergeCell ref="B52:F52"/>
    <mergeCell ref="B54:F54"/>
    <mergeCell ref="B56:G56"/>
    <mergeCell ref="B49:F49"/>
    <mergeCell ref="B50:F50"/>
    <mergeCell ref="B51:F51"/>
    <mergeCell ref="I10:K10"/>
    <mergeCell ref="BB65:BD68"/>
    <mergeCell ref="H65:H68"/>
    <mergeCell ref="U65:W68"/>
    <mergeCell ref="X65:Z68"/>
    <mergeCell ref="AA65:AC68"/>
    <mergeCell ref="AD65:AF68"/>
    <mergeCell ref="AG65:AI68"/>
    <mergeCell ref="AJ65:AL68"/>
    <mergeCell ref="AM65:AO68"/>
    <mergeCell ref="AP65:AR68"/>
    <mergeCell ref="I65:K68"/>
    <mergeCell ref="L65:N68"/>
    <mergeCell ref="O65:Q68"/>
    <mergeCell ref="R65:T68"/>
    <mergeCell ref="AS65:AU68"/>
    <mergeCell ref="AV65:AX68"/>
    <mergeCell ref="AY65:BA68"/>
    <mergeCell ref="AY61:BA64"/>
    <mergeCell ref="BB61:BD64"/>
    <mergeCell ref="L61:N64"/>
    <mergeCell ref="B57:G57"/>
    <mergeCell ref="U60:W60"/>
    <mergeCell ref="U61:W64"/>
    <mergeCell ref="AD60:AF60"/>
    <mergeCell ref="AD61:AF64"/>
    <mergeCell ref="AM60:AO60"/>
    <mergeCell ref="AM61:AO64"/>
    <mergeCell ref="AJ60:AL60"/>
    <mergeCell ref="AJ61:AL64"/>
    <mergeCell ref="AG60:AI60"/>
    <mergeCell ref="H61:H64"/>
    <mergeCell ref="AA60:AC60"/>
    <mergeCell ref="AA61:AC64"/>
    <mergeCell ref="AG61:AI64"/>
    <mergeCell ref="AP60:AR60"/>
    <mergeCell ref="AS60:AU60"/>
    <mergeCell ref="AV60:AX60"/>
    <mergeCell ref="AY60:BA60"/>
    <mergeCell ref="BB60:BD60"/>
    <mergeCell ref="AP61:AR64"/>
    <mergeCell ref="AS61:AU64"/>
  </mergeCells>
  <phoneticPr fontId="4" type="noConversion"/>
  <conditionalFormatting sqref="I10:K10">
    <cfRule type="cellIs" dxfId="219" priority="30734" operator="equal">
      <formula>"NO ADMISIBLE"</formula>
    </cfRule>
    <cfRule type="cellIs" dxfId="218" priority="30735" operator="equal">
      <formula>"RECHAZO"</formula>
    </cfRule>
    <cfRule type="cellIs" dxfId="217" priority="30736" operator="equal">
      <formula>"ADMISIBLE"</formula>
    </cfRule>
  </conditionalFormatting>
  <conditionalFormatting sqref="L10:N10">
    <cfRule type="cellIs" dxfId="216" priority="18606" operator="equal">
      <formula>"NO ADMISIBLE"</formula>
    </cfRule>
    <cfRule type="cellIs" dxfId="215" priority="18607" operator="equal">
      <formula>"RECHAZO"</formula>
    </cfRule>
    <cfRule type="cellIs" dxfId="214" priority="18608" operator="equal">
      <formula>"ADMISIBLE"</formula>
    </cfRule>
  </conditionalFormatting>
  <conditionalFormatting sqref="O10:Q10">
    <cfRule type="cellIs" dxfId="213" priority="18596" operator="equal">
      <formula>"NO ADMISIBLE"</formula>
    </cfRule>
    <cfRule type="cellIs" dxfId="212" priority="18597" operator="equal">
      <formula>"RECHAZO"</formula>
    </cfRule>
    <cfRule type="cellIs" dxfId="211" priority="18598" operator="equal">
      <formula>"ADMISIBLE"</formula>
    </cfRule>
  </conditionalFormatting>
  <conditionalFormatting sqref="R10:T10">
    <cfRule type="cellIs" dxfId="210" priority="18586" operator="equal">
      <formula>"NO ADMISIBLE"</formula>
    </cfRule>
    <cfRule type="cellIs" dxfId="209" priority="18587" operator="equal">
      <formula>"RECHAZO"</formula>
    </cfRule>
    <cfRule type="cellIs" dxfId="208" priority="18588" operator="equal">
      <formula>"ADMISIBLE"</formula>
    </cfRule>
  </conditionalFormatting>
  <conditionalFormatting sqref="U10:W10">
    <cfRule type="cellIs" dxfId="207" priority="18576" operator="equal">
      <formula>"NO ADMISIBLE"</formula>
    </cfRule>
    <cfRule type="cellIs" dxfId="206" priority="18577" operator="equal">
      <formula>"RECHAZO"</formula>
    </cfRule>
    <cfRule type="cellIs" dxfId="205" priority="18578" operator="equal">
      <formula>"ADMISIBLE"</formula>
    </cfRule>
  </conditionalFormatting>
  <conditionalFormatting sqref="X10:Z10">
    <cfRule type="cellIs" dxfId="204" priority="18566" operator="equal">
      <formula>"NO ADMISIBLE"</formula>
    </cfRule>
    <cfRule type="cellIs" dxfId="203" priority="18567" operator="equal">
      <formula>"RECHAZO"</formula>
    </cfRule>
    <cfRule type="cellIs" dxfId="202" priority="18568" operator="equal">
      <formula>"ADMISIBLE"</formula>
    </cfRule>
  </conditionalFormatting>
  <conditionalFormatting sqref="AA10:AC10">
    <cfRule type="cellIs" dxfId="201" priority="18556" operator="equal">
      <formula>"NO ADMISIBLE"</formula>
    </cfRule>
    <cfRule type="cellIs" dxfId="200" priority="18557" operator="equal">
      <formula>"RECHAZO"</formula>
    </cfRule>
    <cfRule type="cellIs" dxfId="199" priority="18558" operator="equal">
      <formula>"ADMISIBLE"</formula>
    </cfRule>
  </conditionalFormatting>
  <conditionalFormatting sqref="AD10:AF10">
    <cfRule type="cellIs" dxfId="198" priority="18546" operator="equal">
      <formula>"NO ADMISIBLE"</formula>
    </cfRule>
    <cfRule type="cellIs" dxfId="197" priority="18547" operator="equal">
      <formula>"RECHAZO"</formula>
    </cfRule>
    <cfRule type="cellIs" dxfId="196" priority="18548" operator="equal">
      <formula>"ADMISIBLE"</formula>
    </cfRule>
  </conditionalFormatting>
  <conditionalFormatting sqref="AG10:AI10">
    <cfRule type="cellIs" dxfId="195" priority="18536" operator="equal">
      <formula>"NO ADMISIBLE"</formula>
    </cfRule>
    <cfRule type="cellIs" dxfId="194" priority="18537" operator="equal">
      <formula>"RECHAZO"</formula>
    </cfRule>
    <cfRule type="cellIs" dxfId="193" priority="18538" operator="equal">
      <formula>"ADMISIBLE"</formula>
    </cfRule>
  </conditionalFormatting>
  <conditionalFormatting sqref="H59">
    <cfRule type="cellIs" dxfId="192" priority="18408" operator="notEqual">
      <formula>""</formula>
    </cfRule>
  </conditionalFormatting>
  <conditionalFormatting sqref="K51 K53:K55 K58 K48:K49">
    <cfRule type="cellIs" dxfId="191" priority="18406" operator="equal">
      <formula>"PARA REVISIÓN"</formula>
    </cfRule>
    <cfRule type="cellIs" dxfId="190" priority="18407" operator="equal">
      <formula>"CUMPLE"</formula>
    </cfRule>
  </conditionalFormatting>
  <conditionalFormatting sqref="AJ10:AL10">
    <cfRule type="cellIs" dxfId="189" priority="18398" operator="equal">
      <formula>"NO ADMISIBLE"</formula>
    </cfRule>
    <cfRule type="cellIs" dxfId="188" priority="18399" operator="equal">
      <formula>"RECHAZO"</formula>
    </cfRule>
    <cfRule type="cellIs" dxfId="187" priority="18400" operator="equal">
      <formula>"ADMISIBLE"</formula>
    </cfRule>
  </conditionalFormatting>
  <conditionalFormatting sqref="AM10:AO10">
    <cfRule type="cellIs" dxfId="186" priority="18395" operator="equal">
      <formula>"NO ADMISIBLE"</formula>
    </cfRule>
    <cfRule type="cellIs" dxfId="185" priority="18396" operator="equal">
      <formula>"RECHAZO"</formula>
    </cfRule>
    <cfRule type="cellIs" dxfId="184" priority="18397" operator="equal">
      <formula>"ADMISIBLE"</formula>
    </cfRule>
  </conditionalFormatting>
  <conditionalFormatting sqref="AP10:AR10">
    <cfRule type="cellIs" dxfId="183" priority="18392" operator="equal">
      <formula>"NO ADMISIBLE"</formula>
    </cfRule>
    <cfRule type="cellIs" dxfId="182" priority="18393" operator="equal">
      <formula>"RECHAZO"</formula>
    </cfRule>
    <cfRule type="cellIs" dxfId="181" priority="18394" operator="equal">
      <formula>"ADMISIBLE"</formula>
    </cfRule>
  </conditionalFormatting>
  <conditionalFormatting sqref="AS10:AU10">
    <cfRule type="cellIs" dxfId="180" priority="18389" operator="equal">
      <formula>"NO ADMISIBLE"</formula>
    </cfRule>
    <cfRule type="cellIs" dxfId="179" priority="18390" operator="equal">
      <formula>"RECHAZO"</formula>
    </cfRule>
    <cfRule type="cellIs" dxfId="178" priority="18391" operator="equal">
      <formula>"ADMISIBLE"</formula>
    </cfRule>
  </conditionalFormatting>
  <conditionalFormatting sqref="AV10:AX10">
    <cfRule type="cellIs" dxfId="177" priority="18386" operator="equal">
      <formula>"NO ADMISIBLE"</formula>
    </cfRule>
    <cfRule type="cellIs" dxfId="176" priority="18387" operator="equal">
      <formula>"RECHAZO"</formula>
    </cfRule>
    <cfRule type="cellIs" dxfId="175" priority="18388" operator="equal">
      <formula>"ADMISIBLE"</formula>
    </cfRule>
  </conditionalFormatting>
  <conditionalFormatting sqref="AY10:BA10">
    <cfRule type="cellIs" dxfId="174" priority="18383" operator="equal">
      <formula>"NO ADMISIBLE"</formula>
    </cfRule>
    <cfRule type="cellIs" dxfId="173" priority="18384" operator="equal">
      <formula>"RECHAZO"</formula>
    </cfRule>
    <cfRule type="cellIs" dxfId="172" priority="18385" operator="equal">
      <formula>"ADMISIBLE"</formula>
    </cfRule>
  </conditionalFormatting>
  <conditionalFormatting sqref="BB10:BD10">
    <cfRule type="cellIs" dxfId="171" priority="18380" operator="equal">
      <formula>"NO ADMISIBLE"</formula>
    </cfRule>
    <cfRule type="cellIs" dxfId="170" priority="18381" operator="equal">
      <formula>"RECHAZO"</formula>
    </cfRule>
    <cfRule type="cellIs" dxfId="169" priority="18382" operator="equal">
      <formula>"ADMISIBLE"</formula>
    </cfRule>
  </conditionalFormatting>
  <conditionalFormatting sqref="K18 K22:K23 K26:K38">
    <cfRule type="cellIs" dxfId="168" priority="18301" operator="equal">
      <formula>"NO VÁLIDA"</formula>
    </cfRule>
    <cfRule type="cellIs" dxfId="167" priority="18302" operator="equal">
      <formula>"VÁLIDA"</formula>
    </cfRule>
  </conditionalFormatting>
  <conditionalFormatting sqref="K52">
    <cfRule type="cellIs" dxfId="166" priority="18287" operator="equal">
      <formula>"NO VÁLIDA"</formula>
    </cfRule>
    <cfRule type="cellIs" dxfId="165" priority="18288" operator="equal">
      <formula>"VÁLIDA"</formula>
    </cfRule>
  </conditionalFormatting>
  <conditionalFormatting sqref="J59">
    <cfRule type="cellIs" dxfId="164" priority="18223" operator="equal">
      <formula>"RECHAZO"</formula>
    </cfRule>
    <cfRule type="cellIs" dxfId="163" priority="18224" operator="equal">
      <formula>"NO ADMISIBLE"</formula>
    </cfRule>
    <cfRule type="cellIs" dxfId="162" priority="18225" operator="notBetween">
      <formula>"RECHAZO"</formula>
      <formula>"NO ADMISIBLE"</formula>
    </cfRule>
  </conditionalFormatting>
  <conditionalFormatting sqref="K59">
    <cfRule type="cellIs" dxfId="161" priority="17809" operator="equal">
      <formula>"NO VÁLIDA"</formula>
    </cfRule>
    <cfRule type="cellIs" dxfId="160" priority="17810" operator="equal">
      <formula>"VÁLIDA"</formula>
    </cfRule>
  </conditionalFormatting>
  <conditionalFormatting sqref="K14">
    <cfRule type="cellIs" dxfId="159" priority="16990" operator="equal">
      <formula>"PARA REVISIÓN"</formula>
    </cfRule>
    <cfRule type="cellIs" dxfId="158" priority="16991" operator="equal">
      <formula>"CUMPLE"</formula>
    </cfRule>
  </conditionalFormatting>
  <conditionalFormatting sqref="K15">
    <cfRule type="cellIs" dxfId="157" priority="16988" operator="equal">
      <formula>"NO VÁLIDA"</formula>
    </cfRule>
    <cfRule type="cellIs" dxfId="156" priority="16989" operator="equal">
      <formula>"VÁLIDA"</formula>
    </cfRule>
  </conditionalFormatting>
  <conditionalFormatting sqref="K16">
    <cfRule type="cellIs" dxfId="155" priority="12251" operator="equal">
      <formula>"PARA REVISIÓN"</formula>
    </cfRule>
    <cfRule type="cellIs" dxfId="154" priority="12252" operator="equal">
      <formula>"CUMPLE"</formula>
    </cfRule>
  </conditionalFormatting>
  <conditionalFormatting sqref="K17">
    <cfRule type="cellIs" dxfId="153" priority="12249" operator="equal">
      <formula>"NO VÁLIDA"</formula>
    </cfRule>
    <cfRule type="cellIs" dxfId="152" priority="12250" operator="equal">
      <formula>"VÁLIDA"</formula>
    </cfRule>
  </conditionalFormatting>
  <conditionalFormatting sqref="K19">
    <cfRule type="cellIs" dxfId="151" priority="5348" operator="equal">
      <formula>"NO VÁLIDA"</formula>
    </cfRule>
    <cfRule type="cellIs" dxfId="150" priority="5349" operator="equal">
      <formula>"VÁLIDA"</formula>
    </cfRule>
  </conditionalFormatting>
  <conditionalFormatting sqref="K44">
    <cfRule type="cellIs" dxfId="149" priority="5061" operator="equal">
      <formula>"NO VÁLIDA"</formula>
    </cfRule>
    <cfRule type="cellIs" dxfId="148" priority="5062" operator="equal">
      <formula>"VÁLIDA"</formula>
    </cfRule>
  </conditionalFormatting>
  <conditionalFormatting sqref="K21">
    <cfRule type="cellIs" dxfId="147" priority="3807" operator="equal">
      <formula>"NO VÁLIDA"</formula>
    </cfRule>
    <cfRule type="cellIs" dxfId="146" priority="3808" operator="equal">
      <formula>"VÁLIDA"</formula>
    </cfRule>
  </conditionalFormatting>
  <conditionalFormatting sqref="K20">
    <cfRule type="cellIs" dxfId="145" priority="1483" operator="equal">
      <formula>"PARA REVISIÓN"</formula>
    </cfRule>
    <cfRule type="cellIs" dxfId="144" priority="1484" operator="equal">
      <formula>"CUMPLE"</formula>
    </cfRule>
  </conditionalFormatting>
  <conditionalFormatting sqref="K43">
    <cfRule type="cellIs" dxfId="143" priority="1479" operator="equal">
      <formula>"PARA REVISIÓN"</formula>
    </cfRule>
    <cfRule type="cellIs" dxfId="142" priority="1480" operator="equal">
      <formula>"CUMPLE"</formula>
    </cfRule>
  </conditionalFormatting>
  <conditionalFormatting sqref="K56">
    <cfRule type="cellIs" dxfId="141" priority="1475" operator="equal">
      <formula>"NO VÁLIDA"</formula>
    </cfRule>
    <cfRule type="cellIs" dxfId="140" priority="1476" operator="equal">
      <formula>"VÁLIDA"</formula>
    </cfRule>
  </conditionalFormatting>
  <conditionalFormatting sqref="K25">
    <cfRule type="cellIs" dxfId="139" priority="697" operator="equal">
      <formula>"NO VÁLIDA"</formula>
    </cfRule>
    <cfRule type="cellIs" dxfId="138" priority="698" operator="equal">
      <formula>"VÁLIDA"</formula>
    </cfRule>
  </conditionalFormatting>
  <conditionalFormatting sqref="K39">
    <cfRule type="cellIs" dxfId="137" priority="695" operator="equal">
      <formula>"NO VÁLIDA"</formula>
    </cfRule>
    <cfRule type="cellIs" dxfId="136" priority="696" operator="equal">
      <formula>"VÁLIDA"</formula>
    </cfRule>
  </conditionalFormatting>
  <conditionalFormatting sqref="K24">
    <cfRule type="cellIs" dxfId="135" priority="693" operator="equal">
      <formula>"PARA REVISIÓN"</formula>
    </cfRule>
    <cfRule type="cellIs" dxfId="134" priority="694" operator="equal">
      <formula>"CUMPLE"</formula>
    </cfRule>
  </conditionalFormatting>
  <conditionalFormatting sqref="K41">
    <cfRule type="cellIs" dxfId="133" priority="691" operator="equal">
      <formula>"NO VÁLIDA"</formula>
    </cfRule>
    <cfRule type="cellIs" dxfId="132" priority="692" operator="equal">
      <formula>"VÁLIDA"</formula>
    </cfRule>
  </conditionalFormatting>
  <conditionalFormatting sqref="K42">
    <cfRule type="cellIs" dxfId="131" priority="689" operator="equal">
      <formula>"NO VÁLIDA"</formula>
    </cfRule>
    <cfRule type="cellIs" dxfId="130" priority="690" operator="equal">
      <formula>"VÁLIDA"</formula>
    </cfRule>
  </conditionalFormatting>
  <conditionalFormatting sqref="K40">
    <cfRule type="cellIs" dxfId="129" priority="687" operator="equal">
      <formula>"PARA REVISIÓN"</formula>
    </cfRule>
    <cfRule type="cellIs" dxfId="128" priority="688" operator="equal">
      <formula>"CUMPLE"</formula>
    </cfRule>
  </conditionalFormatting>
  <conditionalFormatting sqref="K46">
    <cfRule type="cellIs" dxfId="127" priority="673" operator="equal">
      <formula>"NO VÁLIDA"</formula>
    </cfRule>
    <cfRule type="cellIs" dxfId="126" priority="674" operator="equal">
      <formula>"VÁLIDA"</formula>
    </cfRule>
  </conditionalFormatting>
  <conditionalFormatting sqref="K47">
    <cfRule type="cellIs" dxfId="125" priority="219" operator="equal">
      <formula>"NO VÁLIDA"</formula>
    </cfRule>
    <cfRule type="cellIs" dxfId="124" priority="220" operator="equal">
      <formula>"VÁLIDA"</formula>
    </cfRule>
  </conditionalFormatting>
  <conditionalFormatting sqref="K45">
    <cfRule type="cellIs" dxfId="123" priority="217" operator="equal">
      <formula>"NO VÁLIDA"</formula>
    </cfRule>
    <cfRule type="cellIs" dxfId="122" priority="218" operator="equal">
      <formula>"VÁLIDA"</formula>
    </cfRule>
  </conditionalFormatting>
  <conditionalFormatting sqref="K50">
    <cfRule type="cellIs" dxfId="121" priority="215" operator="equal">
      <formula>"PARA REVISIÓN"</formula>
    </cfRule>
    <cfRule type="cellIs" dxfId="120" priority="216" operator="equal">
      <formula>"CUMPLE"</formula>
    </cfRule>
  </conditionalFormatting>
  <conditionalFormatting sqref="K57">
    <cfRule type="cellIs" dxfId="119" priority="213" operator="equal">
      <formula>"NO VÁLIDA"</formula>
    </cfRule>
    <cfRule type="cellIs" dxfId="118" priority="214" operator="equal">
      <formula>"VÁLIDA"</formula>
    </cfRule>
  </conditionalFormatting>
  <conditionalFormatting sqref="N51 Q51 N53:N55 Q53:Q55 N58 Q58 N48:N49 Q48:Q49">
    <cfRule type="cellIs" dxfId="117" priority="105" operator="equal">
      <formula>"PARA REVISIÓN"</formula>
    </cfRule>
    <cfRule type="cellIs" dxfId="116" priority="106" operator="equal">
      <formula>"CUMPLE"</formula>
    </cfRule>
  </conditionalFormatting>
  <conditionalFormatting sqref="N18 Q18 N22:N23 Q22:Q23 N26:N38 Q26:Q38">
    <cfRule type="cellIs" dxfId="115" priority="103" operator="equal">
      <formula>"NO VÁLIDA"</formula>
    </cfRule>
    <cfRule type="cellIs" dxfId="114" priority="104" operator="equal">
      <formula>"VÁLIDA"</formula>
    </cfRule>
  </conditionalFormatting>
  <conditionalFormatting sqref="N52 Q52">
    <cfRule type="cellIs" dxfId="113" priority="101" operator="equal">
      <formula>"NO VÁLIDA"</formula>
    </cfRule>
    <cfRule type="cellIs" dxfId="112" priority="102" operator="equal">
      <formula>"VÁLIDA"</formula>
    </cfRule>
  </conditionalFormatting>
  <conditionalFormatting sqref="M59 P59">
    <cfRule type="cellIs" dxfId="111" priority="98" operator="equal">
      <formula>"RECHAZO"</formula>
    </cfRule>
    <cfRule type="cellIs" dxfId="110" priority="99" operator="equal">
      <formula>"NO ADMISIBLE"</formula>
    </cfRule>
    <cfRule type="cellIs" dxfId="109" priority="100" operator="notBetween">
      <formula>"RECHAZO"</formula>
      <formula>"NO ADMISIBLE"</formula>
    </cfRule>
  </conditionalFormatting>
  <conditionalFormatting sqref="N59 Q59">
    <cfRule type="cellIs" dxfId="108" priority="96" operator="equal">
      <formula>"NO VÁLIDA"</formula>
    </cfRule>
    <cfRule type="cellIs" dxfId="107" priority="97" operator="equal">
      <formula>"VÁLIDA"</formula>
    </cfRule>
  </conditionalFormatting>
  <conditionalFormatting sqref="N14 Q14">
    <cfRule type="cellIs" dxfId="106" priority="94" operator="equal">
      <formula>"PARA REVISIÓN"</formula>
    </cfRule>
    <cfRule type="cellIs" dxfId="105" priority="95" operator="equal">
      <formula>"CUMPLE"</formula>
    </cfRule>
  </conditionalFormatting>
  <conditionalFormatting sqref="N15 Q15">
    <cfRule type="cellIs" dxfId="104" priority="92" operator="equal">
      <formula>"NO VÁLIDA"</formula>
    </cfRule>
    <cfRule type="cellIs" dxfId="103" priority="93" operator="equal">
      <formula>"VÁLIDA"</formula>
    </cfRule>
  </conditionalFormatting>
  <conditionalFormatting sqref="N16 Q16">
    <cfRule type="cellIs" dxfId="102" priority="90" operator="equal">
      <formula>"PARA REVISIÓN"</formula>
    </cfRule>
    <cfRule type="cellIs" dxfId="101" priority="91" operator="equal">
      <formula>"CUMPLE"</formula>
    </cfRule>
  </conditionalFormatting>
  <conditionalFormatting sqref="N17 Q17">
    <cfRule type="cellIs" dxfId="100" priority="88" operator="equal">
      <formula>"NO VÁLIDA"</formula>
    </cfRule>
    <cfRule type="cellIs" dxfId="99" priority="89" operator="equal">
      <formula>"VÁLIDA"</formula>
    </cfRule>
  </conditionalFormatting>
  <conditionalFormatting sqref="N19 Q19">
    <cfRule type="cellIs" dxfId="98" priority="86" operator="equal">
      <formula>"NO VÁLIDA"</formula>
    </cfRule>
    <cfRule type="cellIs" dxfId="97" priority="87" operator="equal">
      <formula>"VÁLIDA"</formula>
    </cfRule>
  </conditionalFormatting>
  <conditionalFormatting sqref="N44 Q44">
    <cfRule type="cellIs" dxfId="96" priority="84" operator="equal">
      <formula>"NO VÁLIDA"</formula>
    </cfRule>
    <cfRule type="cellIs" dxfId="95" priority="85" operator="equal">
      <formula>"VÁLIDA"</formula>
    </cfRule>
  </conditionalFormatting>
  <conditionalFormatting sqref="N21 Q21">
    <cfRule type="cellIs" dxfId="94" priority="82" operator="equal">
      <formula>"NO VÁLIDA"</formula>
    </cfRule>
    <cfRule type="cellIs" dxfId="93" priority="83" operator="equal">
      <formula>"VÁLIDA"</formula>
    </cfRule>
  </conditionalFormatting>
  <conditionalFormatting sqref="N20 Q20">
    <cfRule type="cellIs" dxfId="92" priority="80" operator="equal">
      <formula>"PARA REVISIÓN"</formula>
    </cfRule>
    <cfRule type="cellIs" dxfId="91" priority="81" operator="equal">
      <formula>"CUMPLE"</formula>
    </cfRule>
  </conditionalFormatting>
  <conditionalFormatting sqref="N43 Q43">
    <cfRule type="cellIs" dxfId="90" priority="78" operator="equal">
      <formula>"PARA REVISIÓN"</formula>
    </cfRule>
    <cfRule type="cellIs" dxfId="89" priority="79" operator="equal">
      <formula>"CUMPLE"</formula>
    </cfRule>
  </conditionalFormatting>
  <conditionalFormatting sqref="N56 Q56">
    <cfRule type="cellIs" dxfId="88" priority="76" operator="equal">
      <formula>"NO VÁLIDA"</formula>
    </cfRule>
    <cfRule type="cellIs" dxfId="87" priority="77" operator="equal">
      <formula>"VÁLIDA"</formula>
    </cfRule>
  </conditionalFormatting>
  <conditionalFormatting sqref="N25 Q25">
    <cfRule type="cellIs" dxfId="86" priority="74" operator="equal">
      <formula>"NO VÁLIDA"</formula>
    </cfRule>
    <cfRule type="cellIs" dxfId="85" priority="75" operator="equal">
      <formula>"VÁLIDA"</formula>
    </cfRule>
  </conditionalFormatting>
  <conditionalFormatting sqref="N39 Q39">
    <cfRule type="cellIs" dxfId="84" priority="72" operator="equal">
      <formula>"NO VÁLIDA"</formula>
    </cfRule>
    <cfRule type="cellIs" dxfId="83" priority="73" operator="equal">
      <formula>"VÁLIDA"</formula>
    </cfRule>
  </conditionalFormatting>
  <conditionalFormatting sqref="N24 Q24">
    <cfRule type="cellIs" dxfId="82" priority="70" operator="equal">
      <formula>"PARA REVISIÓN"</formula>
    </cfRule>
    <cfRule type="cellIs" dxfId="81" priority="71" operator="equal">
      <formula>"CUMPLE"</formula>
    </cfRule>
  </conditionalFormatting>
  <conditionalFormatting sqref="N41 Q41">
    <cfRule type="cellIs" dxfId="80" priority="68" operator="equal">
      <formula>"NO VÁLIDA"</formula>
    </cfRule>
    <cfRule type="cellIs" dxfId="79" priority="69" operator="equal">
      <formula>"VÁLIDA"</formula>
    </cfRule>
  </conditionalFormatting>
  <conditionalFormatting sqref="N42 Q42">
    <cfRule type="cellIs" dxfId="78" priority="66" operator="equal">
      <formula>"NO VÁLIDA"</formula>
    </cfRule>
    <cfRule type="cellIs" dxfId="77" priority="67" operator="equal">
      <formula>"VÁLIDA"</formula>
    </cfRule>
  </conditionalFormatting>
  <conditionalFormatting sqref="N40 Q40">
    <cfRule type="cellIs" dxfId="76" priority="64" operator="equal">
      <formula>"PARA REVISIÓN"</formula>
    </cfRule>
    <cfRule type="cellIs" dxfId="75" priority="65" operator="equal">
      <formula>"CUMPLE"</formula>
    </cfRule>
  </conditionalFormatting>
  <conditionalFormatting sqref="N46 Q46">
    <cfRule type="cellIs" dxfId="74" priority="62" operator="equal">
      <formula>"NO VÁLIDA"</formula>
    </cfRule>
    <cfRule type="cellIs" dxfId="73" priority="63" operator="equal">
      <formula>"VÁLIDA"</formula>
    </cfRule>
  </conditionalFormatting>
  <conditionalFormatting sqref="N47 Q47">
    <cfRule type="cellIs" dxfId="72" priority="60" operator="equal">
      <formula>"NO VÁLIDA"</formula>
    </cfRule>
    <cfRule type="cellIs" dxfId="71" priority="61" operator="equal">
      <formula>"VÁLIDA"</formula>
    </cfRule>
  </conditionalFormatting>
  <conditionalFormatting sqref="N45 Q45">
    <cfRule type="cellIs" dxfId="70" priority="58" operator="equal">
      <formula>"NO VÁLIDA"</formula>
    </cfRule>
    <cfRule type="cellIs" dxfId="69" priority="59" operator="equal">
      <formula>"VÁLIDA"</formula>
    </cfRule>
  </conditionalFormatting>
  <conditionalFormatting sqref="N50 Q50">
    <cfRule type="cellIs" dxfId="68" priority="56" operator="equal">
      <formula>"PARA REVISIÓN"</formula>
    </cfRule>
    <cfRule type="cellIs" dxfId="67" priority="57" operator="equal">
      <formula>"CUMPLE"</formula>
    </cfRule>
  </conditionalFormatting>
  <conditionalFormatting sqref="N57 Q57">
    <cfRule type="cellIs" dxfId="66" priority="54" operator="equal">
      <formula>"NO VÁLIDA"</formula>
    </cfRule>
    <cfRule type="cellIs" dxfId="65" priority="55" operator="equal">
      <formula>"VÁLIDA"</formula>
    </cfRule>
  </conditionalFormatting>
  <conditionalFormatting sqref="T51 W51 Z51 AC51 AF51 AI51 AL51 AO51 AR51 AU51 AX51 BA51 BD51 T53:T55 W53:W55 Z53:Z55 AC53:AC55 AF53:AF55 AI53:AI55 AL53:AL55 AO53:AO55 AR53:AR55 AU53:AU55 AX53:AX55 BA53:BA55 BD53:BD55 T58 W58 Z58 AC58 AF58 AI58 AL58 AO58 AR58 AU58 AX58 BA58 BD58 T48:T49 W48:W49 Z48:Z49 AC48:AC49 AF48:AF49 AI48:AI49 AL48:AL49 AO48:AO49 AR48:AR49 AU48:AU49 AX48:AX49 BA48:BA49 BD48:BD49">
    <cfRule type="cellIs" dxfId="64" priority="52" operator="equal">
      <formula>"PARA REVISIÓN"</formula>
    </cfRule>
    <cfRule type="cellIs" dxfId="63" priority="53" operator="equal">
      <formula>"CUMPLE"</formula>
    </cfRule>
  </conditionalFormatting>
  <conditionalFormatting sqref="T18 W18 Z18 AC18 AF18 AI18 AL18 AO18 AR18 AU18 AX18 BA18 BD18 T22:T23 W22:W23 Z22:Z23 AC22:AC23 AF22:AF23 AI22:AI23 AL22:AL23 AO22:AO23 AR22:AR23 AU22:AU23 AX22:AX23 BA22:BA23 BD22:BD23 T26:T38 W26:W38 Z26:Z38 AC26:AC38 AF26:AF38 AI26:AI38 AL26:AL38 AO26:AO38 AR26:AR38 AU26:AU38 AX26:AX38 BA26:BA38 BD26:BD38">
    <cfRule type="cellIs" dxfId="62" priority="50" operator="equal">
      <formula>"NO VÁLIDA"</formula>
    </cfRule>
    <cfRule type="cellIs" dxfId="61" priority="51" operator="equal">
      <formula>"VÁLIDA"</formula>
    </cfRule>
  </conditionalFormatting>
  <conditionalFormatting sqref="T52 W52 Z52 AC52 AF52 AI52 AL52 AO52 AR52 AU52 AX52 BA52 BD52">
    <cfRule type="cellIs" dxfId="60" priority="48" operator="equal">
      <formula>"NO VÁLIDA"</formula>
    </cfRule>
    <cfRule type="cellIs" dxfId="59" priority="49" operator="equal">
      <formula>"VÁLIDA"</formula>
    </cfRule>
  </conditionalFormatting>
  <conditionalFormatting sqref="S59 V59 Y59 AB59 AE59 AH59 AK59 AN59 AQ59 AT59 AW59 AZ59 BC59">
    <cfRule type="cellIs" dxfId="58" priority="45" operator="equal">
      <formula>"RECHAZO"</formula>
    </cfRule>
    <cfRule type="cellIs" dxfId="57" priority="46" operator="equal">
      <formula>"NO ADMISIBLE"</formula>
    </cfRule>
    <cfRule type="cellIs" dxfId="56" priority="47" operator="notBetween">
      <formula>"RECHAZO"</formula>
      <formula>"NO ADMISIBLE"</formula>
    </cfRule>
  </conditionalFormatting>
  <conditionalFormatting sqref="T59 W59 Z59 AC59 AF59 AI59 AL59 AO59 AR59 AU59 AX59 BA59 BD59">
    <cfRule type="cellIs" dxfId="55" priority="43" operator="equal">
      <formula>"NO VÁLIDA"</formula>
    </cfRule>
    <cfRule type="cellIs" dxfId="54" priority="44" operator="equal">
      <formula>"VÁLIDA"</formula>
    </cfRule>
  </conditionalFormatting>
  <conditionalFormatting sqref="T14 W14 Z14 AC14 AF14 AI14 AL14 AO14 AR14 AU14 AX14 BA14 BD14">
    <cfRule type="cellIs" dxfId="53" priority="41" operator="equal">
      <formula>"PARA REVISIÓN"</formula>
    </cfRule>
    <cfRule type="cellIs" dxfId="52" priority="42" operator="equal">
      <formula>"CUMPLE"</formula>
    </cfRule>
  </conditionalFormatting>
  <conditionalFormatting sqref="T15 W15 Z15 AC15 AF15 AI15 AL15 AO15 AR15 AU15 AX15 BA15 BD15">
    <cfRule type="cellIs" dxfId="51" priority="39" operator="equal">
      <formula>"NO VÁLIDA"</formula>
    </cfRule>
    <cfRule type="cellIs" dxfId="50" priority="40" operator="equal">
      <formula>"VÁLIDA"</formula>
    </cfRule>
  </conditionalFormatting>
  <conditionalFormatting sqref="T16 W16 Z16 AC16 AF16 AI16 AL16 AO16 AR16 AU16 AX16 BA16 BD16">
    <cfRule type="cellIs" dxfId="49" priority="37" operator="equal">
      <formula>"PARA REVISIÓN"</formula>
    </cfRule>
    <cfRule type="cellIs" dxfId="48" priority="38" operator="equal">
      <formula>"CUMPLE"</formula>
    </cfRule>
  </conditionalFormatting>
  <conditionalFormatting sqref="T17 W17 Z17 AC17 AF17 AI17 AL17 AO17 AR17 AU17 AX17 BA17 BD17">
    <cfRule type="cellIs" dxfId="47" priority="35" operator="equal">
      <formula>"NO VÁLIDA"</formula>
    </cfRule>
    <cfRule type="cellIs" dxfId="46" priority="36" operator="equal">
      <formula>"VÁLIDA"</formula>
    </cfRule>
  </conditionalFormatting>
  <conditionalFormatting sqref="T19 W19 Z19 AC19 AF19 AI19 AL19 AO19 AR19 AU19 AX19 BA19 BD19">
    <cfRule type="cellIs" dxfId="45" priority="33" operator="equal">
      <formula>"NO VÁLIDA"</formula>
    </cfRule>
    <cfRule type="cellIs" dxfId="44" priority="34" operator="equal">
      <formula>"VÁLIDA"</formula>
    </cfRule>
  </conditionalFormatting>
  <conditionalFormatting sqref="T44 W44 Z44 AC44 AF44 AI44 AL44 AO44 AR44 AU44 AX44 BA44 BD44">
    <cfRule type="cellIs" dxfId="43" priority="31" operator="equal">
      <formula>"NO VÁLIDA"</formula>
    </cfRule>
    <cfRule type="cellIs" dxfId="42" priority="32" operator="equal">
      <formula>"VÁLIDA"</formula>
    </cfRule>
  </conditionalFormatting>
  <conditionalFormatting sqref="T21 W21 Z21 AC21 AF21 AI21 AL21 AO21 AR21 AU21 AX21 BA21 BD21">
    <cfRule type="cellIs" dxfId="41" priority="29" operator="equal">
      <formula>"NO VÁLIDA"</formula>
    </cfRule>
    <cfRule type="cellIs" dxfId="40" priority="30" operator="equal">
      <formula>"VÁLIDA"</formula>
    </cfRule>
  </conditionalFormatting>
  <conditionalFormatting sqref="T20 W20 Z20 AC20 AF20 AI20 AL20 AO20 AR20 AU20 AX20 BA20 BD20">
    <cfRule type="cellIs" dxfId="39" priority="27" operator="equal">
      <formula>"PARA REVISIÓN"</formula>
    </cfRule>
    <cfRule type="cellIs" dxfId="38" priority="28" operator="equal">
      <formula>"CUMPLE"</formula>
    </cfRule>
  </conditionalFormatting>
  <conditionalFormatting sqref="T43 W43 Z43 AC43 AF43 AI43 AL43 AO43 AR43 AU43 AX43 BA43 BD43">
    <cfRule type="cellIs" dxfId="37" priority="25" operator="equal">
      <formula>"PARA REVISIÓN"</formula>
    </cfRule>
    <cfRule type="cellIs" dxfId="36" priority="26" operator="equal">
      <formula>"CUMPLE"</formula>
    </cfRule>
  </conditionalFormatting>
  <conditionalFormatting sqref="T56 W56 Z56 AC56 AF56 AI56 AL56 AO56 AR56 AU56 AX56 BA56 BD56">
    <cfRule type="cellIs" dxfId="35" priority="23" operator="equal">
      <formula>"NO VÁLIDA"</formula>
    </cfRule>
    <cfRule type="cellIs" dxfId="34" priority="24" operator="equal">
      <formula>"VÁLIDA"</formula>
    </cfRule>
  </conditionalFormatting>
  <conditionalFormatting sqref="T25 W25 Z25 AC25 AF25 AI25 AL25 AO25 AR25 AU25 AX25 BA25 BD25">
    <cfRule type="cellIs" dxfId="33" priority="21" operator="equal">
      <formula>"NO VÁLIDA"</formula>
    </cfRule>
    <cfRule type="cellIs" dxfId="32" priority="22" operator="equal">
      <formula>"VÁLIDA"</formula>
    </cfRule>
  </conditionalFormatting>
  <conditionalFormatting sqref="T39 W39 Z39 AC39 AF39 AI39 AL39 AO39 AR39 AU39 AX39 BA39 BD39">
    <cfRule type="cellIs" dxfId="31" priority="19" operator="equal">
      <formula>"NO VÁLIDA"</formula>
    </cfRule>
    <cfRule type="cellIs" dxfId="30" priority="20" operator="equal">
      <formula>"VÁLIDA"</formula>
    </cfRule>
  </conditionalFormatting>
  <conditionalFormatting sqref="T24 W24 Z24 AC24 AF24 AI24 AL24 AO24 AR24 AU24 AX24 BA24 BD24">
    <cfRule type="cellIs" dxfId="29" priority="17" operator="equal">
      <formula>"PARA REVISIÓN"</formula>
    </cfRule>
    <cfRule type="cellIs" dxfId="28" priority="18" operator="equal">
      <formula>"CUMPLE"</formula>
    </cfRule>
  </conditionalFormatting>
  <conditionalFormatting sqref="T41 W41 Z41 AC41 AF41 AI41 AL41 AO41 AR41 AU41 AX41 BA41 BD41">
    <cfRule type="cellIs" dxfId="27" priority="15" operator="equal">
      <formula>"NO VÁLIDA"</formula>
    </cfRule>
    <cfRule type="cellIs" dxfId="26" priority="16" operator="equal">
      <formula>"VÁLIDA"</formula>
    </cfRule>
  </conditionalFormatting>
  <conditionalFormatting sqref="T42 W42 Z42 AC42 AF42 AI42 AL42 AO42 AR42 AU42 AX42 BA42 BD42">
    <cfRule type="cellIs" dxfId="25" priority="13" operator="equal">
      <formula>"NO VÁLIDA"</formula>
    </cfRule>
    <cfRule type="cellIs" dxfId="24" priority="14" operator="equal">
      <formula>"VÁLIDA"</formula>
    </cfRule>
  </conditionalFormatting>
  <conditionalFormatting sqref="T40 W40 Z40 AC40 AF40 AI40 AL40 AO40 AR40 AU40 AX40 BA40 BD40">
    <cfRule type="cellIs" dxfId="23" priority="11" operator="equal">
      <formula>"PARA REVISIÓN"</formula>
    </cfRule>
    <cfRule type="cellIs" dxfId="22" priority="12" operator="equal">
      <formula>"CUMPLE"</formula>
    </cfRule>
  </conditionalFormatting>
  <conditionalFormatting sqref="T46 W46 Z46 AC46 AF46 AI46 AL46 AO46 AR46 AU46 AX46 BA46 BD46">
    <cfRule type="cellIs" dxfId="21" priority="9" operator="equal">
      <formula>"NO VÁLIDA"</formula>
    </cfRule>
    <cfRule type="cellIs" dxfId="20" priority="10" operator="equal">
      <formula>"VÁLIDA"</formula>
    </cfRule>
  </conditionalFormatting>
  <conditionalFormatting sqref="T47 W47 Z47 AC47 AF47 AI47 AL47 AO47 AR47 AU47 AX47 BA47 BD47">
    <cfRule type="cellIs" dxfId="19" priority="7" operator="equal">
      <formula>"NO VÁLIDA"</formula>
    </cfRule>
    <cfRule type="cellIs" dxfId="18" priority="8" operator="equal">
      <formula>"VÁLIDA"</formula>
    </cfRule>
  </conditionalFormatting>
  <conditionalFormatting sqref="T45 W45 Z45 AC45 AF45 AI45 AL45 AO45 AR45 AU45 AX45 BA45 BD45">
    <cfRule type="cellIs" dxfId="17" priority="5" operator="equal">
      <formula>"NO VÁLIDA"</formula>
    </cfRule>
    <cfRule type="cellIs" dxfId="16" priority="6" operator="equal">
      <formula>"VÁLIDA"</formula>
    </cfRule>
  </conditionalFormatting>
  <conditionalFormatting sqref="T50 W50 Z50 AC50 AF50 AI50 AL50 AO50 AR50 AU50 AX50 BA50 BD50">
    <cfRule type="cellIs" dxfId="15" priority="3" operator="equal">
      <formula>"PARA REVISIÓN"</formula>
    </cfRule>
    <cfRule type="cellIs" dxfId="14" priority="4" operator="equal">
      <formula>"CUMPLE"</formula>
    </cfRule>
  </conditionalFormatting>
  <conditionalFormatting sqref="T57 W57 Z57 AC57 AF57 AI57 AL57 AO57 AR57 AU57 AX57 BA57 BD57">
    <cfRule type="cellIs" dxfId="13" priority="1" operator="equal">
      <formula>"NO VÁLIDA"</formula>
    </cfRule>
    <cfRule type="cellIs" dxfId="12" priority="2" operator="equal">
      <formula>"VÁLIDA"</formula>
    </cfRule>
  </conditionalFormatting>
  <printOptions horizontalCentered="1"/>
  <pageMargins left="0.23622047244094491" right="0.23622047244094491" top="0.74803149606299213" bottom="0.74803149606299213" header="0.31496062992125984" footer="0.31496062992125984"/>
  <pageSetup scale="48" orientation="landscape" horizontalDpi="1200" verticalDpi="1200" r:id="rId1"/>
  <headerFooter alignWithMargins="0">
    <oddFooter>&amp;L&amp;9&amp;F&amp;A&amp;C&amp;P de &amp;N&amp;R&amp;9INSTITUTO NACIONAL DE VIAS&amp;D</oddFooter>
  </headerFooter>
  <ignoredErrors>
    <ignoredError sqref="H60:H64 I60:K6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pageSetUpPr fitToPage="1"/>
  </sheetPr>
  <dimension ref="B1:AL89"/>
  <sheetViews>
    <sheetView showGridLines="0" topLeftCell="A39" zoomScale="90" zoomScaleNormal="90" workbookViewId="0">
      <selection activeCell="O55" sqref="O55"/>
    </sheetView>
  </sheetViews>
  <sheetFormatPr baseColWidth="10" defaultColWidth="11.42578125" defaultRowHeight="12.75" outlineLevelRow="1" x14ac:dyDescent="0.2"/>
  <cols>
    <col min="1" max="1" width="2.7109375" style="43" customWidth="1"/>
    <col min="2" max="3" width="8.28515625" style="43" customWidth="1"/>
    <col min="4" max="4" width="44.28515625" style="43" customWidth="1"/>
    <col min="5" max="5" width="21.5703125" style="43" customWidth="1"/>
    <col min="6" max="6" width="23" style="43" customWidth="1"/>
    <col min="7" max="7" width="15.42578125" style="43" bestFit="1" customWidth="1"/>
    <col min="8" max="8" width="28.7109375" style="45" bestFit="1" customWidth="1"/>
    <col min="9" max="9" width="13.7109375" style="41" hidden="1" customWidth="1"/>
    <col min="10" max="10" width="13.7109375" style="42" hidden="1" customWidth="1"/>
    <col min="11" max="13" width="13.7109375" style="43" hidden="1" customWidth="1"/>
    <col min="14" max="14" width="19.5703125" style="43" bestFit="1" customWidth="1"/>
    <col min="15" max="15" width="50" style="45" bestFit="1" customWidth="1"/>
    <col min="16" max="16" width="22.28515625" style="45" bestFit="1" customWidth="1"/>
    <col min="17" max="38" width="22.28515625" style="43" bestFit="1" customWidth="1"/>
    <col min="39" max="16384" width="11.42578125" style="43"/>
  </cols>
  <sheetData>
    <row r="1" spans="2:17" ht="18" x14ac:dyDescent="0.2">
      <c r="B1" s="349" t="str">
        <f>RESUMEN!B1</f>
        <v>FIDUPREVISORA</v>
      </c>
      <c r="C1" s="349"/>
      <c r="D1" s="349"/>
      <c r="E1" s="349"/>
      <c r="F1" s="349"/>
      <c r="G1" s="349"/>
      <c r="H1" s="349"/>
    </row>
    <row r="2" spans="2:17" x14ac:dyDescent="0.2">
      <c r="B2" s="334"/>
      <c r="C2" s="334"/>
      <c r="D2" s="334"/>
      <c r="E2" s="334"/>
      <c r="F2" s="334"/>
      <c r="G2" s="334"/>
      <c r="H2" s="334"/>
    </row>
    <row r="3" spans="2:17" x14ac:dyDescent="0.2">
      <c r="B3" s="334" t="str">
        <f>RESUMEN!B3</f>
        <v>PATRIMONIO AUTÓNOMO FIDEICOMISO ECOPETROL ZOMAC (en adelante PATRIMONIO AUTÓNOMO) FIDUCIARIA LA PREVISORA S.A.</v>
      </c>
      <c r="C3" s="334"/>
      <c r="D3" s="334"/>
      <c r="E3" s="334"/>
      <c r="F3" s="334"/>
      <c r="G3" s="334"/>
      <c r="H3" s="334"/>
    </row>
    <row r="4" spans="2:17" x14ac:dyDescent="0.2">
      <c r="B4" s="334"/>
      <c r="C4" s="334"/>
      <c r="D4" s="334"/>
      <c r="E4" s="334"/>
      <c r="F4" s="334"/>
      <c r="G4" s="334"/>
      <c r="H4" s="334"/>
    </row>
    <row r="5" spans="2:17" x14ac:dyDescent="0.2">
      <c r="B5" s="334" t="str">
        <f>RESUMEN!B5</f>
        <v>LICITACIÓN PRIVADA ABIERTA N° 007 DE 2018</v>
      </c>
      <c r="C5" s="334"/>
      <c r="D5" s="334"/>
      <c r="E5" s="334"/>
      <c r="F5" s="334"/>
      <c r="G5" s="334"/>
      <c r="H5" s="334"/>
    </row>
    <row r="6" spans="2:17" ht="15.75" x14ac:dyDescent="0.2">
      <c r="B6" s="49"/>
      <c r="C6" s="49"/>
      <c r="D6" s="44"/>
      <c r="E6" s="44"/>
      <c r="F6" s="44"/>
      <c r="G6" s="44"/>
      <c r="H6" s="44"/>
    </row>
    <row r="7" spans="2:17" x14ac:dyDescent="0.2">
      <c r="B7" s="334" t="str">
        <f>RESUMEN!B7</f>
        <v>PROYECTO No. 1: MEJORAMIENTO DE VÍA MEDIANTE LA PAVIMENTACIÓN DE LA VÍA SAN PEDRO - ARIZONA, SEGUNDA ETAPA ABSC K3+743 A K6+543 Y DE K25+427 HASTA K27+927, MUNICIPIO DE PUERTO CAICEDO, DEPARTAMENTO DE PUTUMAYO VINCULADOS AL CONTRIBUYENTE ECOPETROL S.A. DENTRO DEL MARCO DEL MECANISMO DE OBRAS POR IMPUESTOS</v>
      </c>
      <c r="C7" s="334"/>
      <c r="D7" s="334"/>
      <c r="E7" s="334"/>
      <c r="F7" s="334"/>
      <c r="G7" s="334"/>
      <c r="H7" s="334"/>
    </row>
    <row r="8" spans="2:17" ht="15.75" x14ac:dyDescent="0.2">
      <c r="B8" s="49"/>
      <c r="C8" s="49"/>
      <c r="D8" s="44"/>
      <c r="E8" s="44"/>
      <c r="F8" s="44"/>
      <c r="G8" s="44"/>
      <c r="H8" s="44"/>
    </row>
    <row r="9" spans="2:17" ht="15.75" customHeight="1" x14ac:dyDescent="0.2">
      <c r="B9" s="345" t="s">
        <v>23</v>
      </c>
      <c r="C9" s="345"/>
      <c r="D9" s="345"/>
      <c r="E9" s="345"/>
      <c r="F9" s="345"/>
      <c r="G9" s="345"/>
      <c r="H9" s="345"/>
    </row>
    <row r="10" spans="2:17" ht="16.5" customHeight="1" x14ac:dyDescent="0.2">
      <c r="B10" s="418" t="s">
        <v>24</v>
      </c>
      <c r="C10" s="418"/>
      <c r="D10" s="418"/>
      <c r="E10" s="418"/>
      <c r="F10" s="418"/>
      <c r="G10" s="418"/>
      <c r="H10" s="418"/>
      <c r="Q10"/>
    </row>
    <row r="11" spans="2:17" ht="16.5" thickBot="1" x14ac:dyDescent="0.25">
      <c r="B11" s="50"/>
      <c r="C11" s="50"/>
      <c r="D11" s="44"/>
      <c r="E11" s="44"/>
      <c r="F11" s="44"/>
      <c r="G11" s="44"/>
      <c r="H11" s="44"/>
    </row>
    <row r="12" spans="2:17" ht="15.75" thickBot="1" x14ac:dyDescent="0.25">
      <c r="B12" s="389" t="s">
        <v>41</v>
      </c>
      <c r="C12" s="390"/>
      <c r="D12" s="390"/>
      <c r="E12" s="390"/>
      <c r="F12" s="390"/>
      <c r="G12" s="390"/>
      <c r="H12" s="391"/>
      <c r="O12" s="297" t="s">
        <v>180</v>
      </c>
    </row>
    <row r="13" spans="2:17" ht="13.5" thickBot="1" x14ac:dyDescent="0.25">
      <c r="B13" s="86" t="s">
        <v>91</v>
      </c>
      <c r="C13" s="87"/>
      <c r="D13" s="88"/>
      <c r="E13" s="88"/>
      <c r="F13" s="88"/>
      <c r="G13" s="119" t="s">
        <v>42</v>
      </c>
      <c r="H13" s="120">
        <v>3196.3</v>
      </c>
      <c r="O13" s="204">
        <v>2</v>
      </c>
    </row>
    <row r="14" spans="2:17" ht="13.5" thickBot="1" x14ac:dyDescent="0.25">
      <c r="B14" s="89"/>
      <c r="C14" s="87"/>
      <c r="D14" s="88"/>
      <c r="E14" s="88"/>
      <c r="F14" s="88"/>
      <c r="G14" s="119" t="s">
        <v>43</v>
      </c>
      <c r="H14" s="121">
        <f>100*(H13-INT(H13))</f>
        <v>30.00000000001819</v>
      </c>
    </row>
    <row r="15" spans="2:17" ht="15.75" thickBot="1" x14ac:dyDescent="0.25">
      <c r="B15" s="90" t="s">
        <v>75</v>
      </c>
      <c r="C15" s="91"/>
      <c r="D15" s="92"/>
      <c r="E15" s="400" t="str">
        <f>IF(OR($O$13=1,$O$16="NO APLICA"),IF(AND(H14&gt;=0,H14&lt;=33),"MEDIA ARITMETICA",IF(AND(H14&gt;=34,H14&lt;=66),"MEDIA ARITMETICA ALTA",IF(AND(H14&gt;=67,H14&lt;=99),"MEDIA GEOMETRICA CON PRESUPUESTO ESTIMADO","MENOR VALOR"))),IF(O16="MEDIA ARITMÉTICA","MEDIA ARITMETICA ALTA",IF(O16="MEDIA ARITMÉTICA ALTA","MEDIA GEOMETRICA CON PRESUPUESTO ESTIMADO",IF(O16="MEDIA GEOMÉTRICA CON PRESUPUESTO ESTIMADO","MEDIA ARITMETICA"))))</f>
        <v>MEDIA ARITMETICA</v>
      </c>
      <c r="F15" s="400"/>
      <c r="G15" s="400"/>
      <c r="H15" s="401"/>
      <c r="O15" s="297" t="s">
        <v>86</v>
      </c>
    </row>
    <row r="16" spans="2:17" ht="16.5" thickBot="1" x14ac:dyDescent="0.25">
      <c r="B16" s="50"/>
      <c r="C16" s="50"/>
      <c r="D16" s="44"/>
      <c r="E16" s="44"/>
      <c r="F16" s="44"/>
      <c r="G16" s="44"/>
      <c r="H16" s="44"/>
      <c r="O16" s="204" t="s">
        <v>90</v>
      </c>
    </row>
    <row r="17" spans="2:16" ht="15.6" customHeight="1" x14ac:dyDescent="0.2">
      <c r="B17" s="389" t="s">
        <v>44</v>
      </c>
      <c r="C17" s="390"/>
      <c r="D17" s="390"/>
      <c r="E17" s="390"/>
      <c r="F17" s="390"/>
      <c r="G17" s="390"/>
      <c r="H17" s="391"/>
    </row>
    <row r="18" spans="2:16" outlineLevel="1" x14ac:dyDescent="0.2">
      <c r="B18" s="89"/>
      <c r="C18" s="97"/>
      <c r="D18" s="93"/>
      <c r="E18" s="94"/>
      <c r="F18" s="94"/>
      <c r="G18" s="97" t="s">
        <v>45</v>
      </c>
      <c r="H18" s="105">
        <f>COUNT(E44:E59)</f>
        <v>9</v>
      </c>
    </row>
    <row r="19" spans="2:16" outlineLevel="1" x14ac:dyDescent="0.2">
      <c r="B19" s="98"/>
      <c r="C19" s="97"/>
      <c r="D19" s="93"/>
      <c r="E19" s="94"/>
      <c r="F19" s="94"/>
      <c r="G19" s="97" t="s">
        <v>49</v>
      </c>
      <c r="H19" s="108">
        <f>IF(H18=0,0,MIN(E44:E59))</f>
        <v>9220395459</v>
      </c>
    </row>
    <row r="20" spans="2:16" outlineLevel="1" x14ac:dyDescent="0.2">
      <c r="B20" s="98"/>
      <c r="C20" s="97"/>
      <c r="D20" s="93"/>
      <c r="E20" s="94"/>
      <c r="F20" s="94"/>
      <c r="G20" s="97" t="s">
        <v>50</v>
      </c>
      <c r="H20" s="108">
        <f>IF(H18=0,0,MAX(E44:E59))</f>
        <v>9391365728</v>
      </c>
    </row>
    <row r="21" spans="2:16" outlineLevel="1" x14ac:dyDescent="0.2">
      <c r="B21" s="89"/>
      <c r="C21" s="99"/>
      <c r="D21" s="93"/>
      <c r="E21" s="94"/>
      <c r="F21" s="94"/>
      <c r="G21" s="97" t="s">
        <v>56</v>
      </c>
      <c r="H21" s="108">
        <f>IF(H18=0,0,AVERAGE(E44:E59))</f>
        <v>9289470377.5555553</v>
      </c>
    </row>
    <row r="22" spans="2:16" outlineLevel="1" x14ac:dyDescent="0.2">
      <c r="B22" s="89"/>
      <c r="C22" s="99"/>
      <c r="D22" s="93"/>
      <c r="E22" s="94"/>
      <c r="F22" s="94"/>
      <c r="G22" s="97" t="s">
        <v>57</v>
      </c>
      <c r="H22" s="108">
        <f>IF(H18=0,0,MEDIAN(E44:E59))</f>
        <v>9289376937</v>
      </c>
    </row>
    <row r="23" spans="2:16" outlineLevel="1" x14ac:dyDescent="0.2">
      <c r="B23" s="89"/>
      <c r="C23" s="99"/>
      <c r="D23" s="93"/>
      <c r="E23" s="94"/>
      <c r="F23" s="94"/>
      <c r="G23" s="97" t="s">
        <v>58</v>
      </c>
      <c r="H23" s="108">
        <f>IF(OR(H18=0,H18=1),0,STDEV(E44:E59))</f>
        <v>55346399.053248651</v>
      </c>
    </row>
    <row r="24" spans="2:16" outlineLevel="1" x14ac:dyDescent="0.2">
      <c r="B24" s="100"/>
      <c r="C24" s="101"/>
      <c r="D24" s="93"/>
      <c r="E24" s="94"/>
      <c r="F24" s="94"/>
      <c r="G24" s="97" t="s">
        <v>59</v>
      </c>
      <c r="H24" s="108">
        <f>'VR-PROP'!$H$59</f>
        <v>9411568285</v>
      </c>
    </row>
    <row r="25" spans="2:16" ht="13.5" outlineLevel="1" thickBot="1" x14ac:dyDescent="0.25">
      <c r="B25" s="102"/>
      <c r="C25" s="103"/>
      <c r="D25" s="95"/>
      <c r="E25" s="96"/>
      <c r="F25" s="96"/>
      <c r="G25" s="104" t="s">
        <v>46</v>
      </c>
      <c r="H25" s="106">
        <v>900</v>
      </c>
    </row>
    <row r="26" spans="2:16" customFormat="1" ht="13.5" outlineLevel="1" thickBot="1" x14ac:dyDescent="0.25">
      <c r="O26" s="201"/>
      <c r="P26" s="201"/>
    </row>
    <row r="27" spans="2:16" ht="16.149999999999999" customHeight="1" outlineLevel="1" x14ac:dyDescent="0.2">
      <c r="B27" s="409" t="s">
        <v>60</v>
      </c>
      <c r="C27" s="410"/>
      <c r="D27" s="410"/>
      <c r="E27" s="410"/>
      <c r="F27" s="410"/>
      <c r="G27" s="410"/>
      <c r="H27" s="411"/>
    </row>
    <row r="28" spans="2:16" outlineLevel="1" x14ac:dyDescent="0.2">
      <c r="B28" s="392" t="s">
        <v>47</v>
      </c>
      <c r="C28" s="393"/>
      <c r="D28" s="393"/>
      <c r="E28" s="393"/>
      <c r="F28" s="393"/>
      <c r="G28" s="394"/>
      <c r="H28" s="107">
        <f>H21</f>
        <v>9289470377.5555553</v>
      </c>
    </row>
    <row r="29" spans="2:16" ht="15" outlineLevel="1" x14ac:dyDescent="0.2">
      <c r="B29" s="412" t="s">
        <v>61</v>
      </c>
      <c r="C29" s="413"/>
      <c r="D29" s="413"/>
      <c r="E29" s="413"/>
      <c r="F29" s="413"/>
      <c r="G29" s="413"/>
      <c r="H29" s="414"/>
    </row>
    <row r="30" spans="2:16" outlineLevel="1" x14ac:dyDescent="0.2">
      <c r="B30" s="392" t="s">
        <v>48</v>
      </c>
      <c r="C30" s="393"/>
      <c r="D30" s="393"/>
      <c r="E30" s="393"/>
      <c r="F30" s="393"/>
      <c r="G30" s="394"/>
      <c r="H30" s="107">
        <f>AVERAGE(H20,H21)</f>
        <v>9340418052.7777786</v>
      </c>
    </row>
    <row r="31" spans="2:16" ht="15" outlineLevel="1" x14ac:dyDescent="0.2">
      <c r="B31" s="412" t="s">
        <v>200</v>
      </c>
      <c r="C31" s="413"/>
      <c r="D31" s="413"/>
      <c r="E31" s="413"/>
      <c r="F31" s="413"/>
      <c r="G31" s="413"/>
      <c r="H31" s="414"/>
    </row>
    <row r="32" spans="2:16" outlineLevel="1" x14ac:dyDescent="0.2">
      <c r="B32" s="392" t="s">
        <v>78</v>
      </c>
      <c r="C32" s="393"/>
      <c r="D32" s="393"/>
      <c r="E32" s="393"/>
      <c r="F32" s="393"/>
      <c r="G32" s="394"/>
      <c r="H32" s="107">
        <f>IF(H18=0,0,ROUNDUP(H18/3,0))</f>
        <v>3</v>
      </c>
    </row>
    <row r="33" spans="2:34" ht="13.5" hidden="1" outlineLevel="1" x14ac:dyDescent="0.2">
      <c r="B33" s="392" t="s">
        <v>76</v>
      </c>
      <c r="C33" s="393"/>
      <c r="D33" s="393"/>
      <c r="E33" s="393"/>
      <c r="F33" s="393"/>
      <c r="G33" s="394"/>
      <c r="H33" s="109">
        <f>IF(H18=0,0,PRODUCT(F44:F59))</f>
        <v>515059082.41928798</v>
      </c>
      <c r="I33" s="159"/>
    </row>
    <row r="34" spans="2:34" ht="13.5" hidden="1" outlineLevel="1" x14ac:dyDescent="0.2">
      <c r="B34" s="392" t="s">
        <v>77</v>
      </c>
      <c r="C34" s="393"/>
      <c r="D34" s="393"/>
      <c r="E34" s="393"/>
      <c r="F34" s="393"/>
      <c r="G34" s="394"/>
      <c r="H34" s="109">
        <f>POWER(H24/1000000000,H32)</f>
        <v>833.65429640707123</v>
      </c>
      <c r="I34" s="159"/>
    </row>
    <row r="35" spans="2:34" ht="13.15" customHeight="1" outlineLevel="1" thickBot="1" x14ac:dyDescent="0.25">
      <c r="B35" s="397" t="s">
        <v>201</v>
      </c>
      <c r="C35" s="398"/>
      <c r="D35" s="398"/>
      <c r="E35" s="398"/>
      <c r="F35" s="398"/>
      <c r="G35" s="399"/>
      <c r="H35" s="110">
        <f>IF(H18=0,0,1000000000*POWER(H33*H34,1/(H18+H32)))</f>
        <v>9319735497.9168911</v>
      </c>
      <c r="I35" s="160"/>
    </row>
    <row r="36" spans="2:34" outlineLevel="1" x14ac:dyDescent="0.2">
      <c r="B36" s="122"/>
      <c r="C36" s="122"/>
      <c r="D36" s="122"/>
      <c r="E36" s="122"/>
      <c r="F36" s="122"/>
      <c r="G36" s="122"/>
      <c r="H36" s="123"/>
      <c r="I36"/>
    </row>
    <row r="37" spans="2:34" ht="16.5" outlineLevel="1" thickBot="1" x14ac:dyDescent="0.3">
      <c r="B37" s="82"/>
      <c r="C37" s="82"/>
      <c r="D37" s="82"/>
      <c r="E37" s="83"/>
      <c r="F37" s="83"/>
      <c r="G37" s="44"/>
      <c r="H37" s="44"/>
      <c r="I37"/>
    </row>
    <row r="38" spans="2:34" s="42" customFormat="1" ht="40.5" customHeight="1" thickBot="1" x14ac:dyDescent="0.25">
      <c r="B38" s="395" t="s">
        <v>62</v>
      </c>
      <c r="C38" s="396"/>
      <c r="D38" s="396"/>
      <c r="E38" s="415" t="str">
        <f>E15</f>
        <v>MEDIA ARITMETICA</v>
      </c>
      <c r="F38" s="415"/>
      <c r="G38" s="415"/>
      <c r="H38" s="301">
        <f>IF(E38="MEDIA ARITMETICA",H28,IF(E38="MEDIA ARITMETICA ALTA",H30,IF(E38="MEDIA GEOMETRICA CON PRESUPUESTO ESTIMADO",H35,IF(E38="MENOR VALOR",#REF!,""))))</f>
        <v>9289470377.5555553</v>
      </c>
      <c r="I38" s="158"/>
      <c r="O38" s="202"/>
      <c r="P38" s="202"/>
    </row>
    <row r="39" spans="2:34" ht="15.75" x14ac:dyDescent="0.25">
      <c r="B39" s="82"/>
      <c r="C39" s="82"/>
      <c r="D39" s="82"/>
      <c r="E39" s="83"/>
      <c r="F39" s="83"/>
      <c r="G39" s="44"/>
      <c r="H39" s="44"/>
      <c r="I39"/>
    </row>
    <row r="40" spans="2:34" ht="26.25" customHeight="1" thickBot="1" x14ac:dyDescent="0.25">
      <c r="B40" s="50"/>
      <c r="C40" s="50"/>
      <c r="D40" s="44"/>
      <c r="E40" s="44"/>
      <c r="F40" s="44"/>
      <c r="G40" s="44"/>
      <c r="H40" s="44"/>
    </row>
    <row r="41" spans="2:34" ht="25.5" customHeight="1" x14ac:dyDescent="0.2">
      <c r="B41" s="402" t="s">
        <v>64</v>
      </c>
      <c r="C41" s="403"/>
      <c r="D41" s="403"/>
      <c r="E41" s="403"/>
      <c r="F41" s="403"/>
      <c r="G41" s="403"/>
      <c r="H41" s="404"/>
    </row>
    <row r="42" spans="2:34" ht="60" outlineLevel="1" x14ac:dyDescent="0.2">
      <c r="B42" s="381" t="s">
        <v>37</v>
      </c>
      <c r="C42" s="383" t="s">
        <v>12</v>
      </c>
      <c r="D42" s="385" t="s">
        <v>6</v>
      </c>
      <c r="E42" s="302" t="s">
        <v>181</v>
      </c>
      <c r="F42" s="302" t="s">
        <v>25</v>
      </c>
      <c r="G42" s="302" t="s">
        <v>27</v>
      </c>
      <c r="H42" s="303" t="s">
        <v>5</v>
      </c>
      <c r="I42" s="416" t="s">
        <v>55</v>
      </c>
      <c r="J42" s="407" t="s">
        <v>51</v>
      </c>
      <c r="K42" s="407" t="s">
        <v>52</v>
      </c>
      <c r="L42" s="407" t="s">
        <v>53</v>
      </c>
      <c r="M42" s="407" t="s">
        <v>54</v>
      </c>
      <c r="AE42" s="43" t="str">
        <f>UPPER(Q42)</f>
        <v/>
      </c>
      <c r="AF42" s="43" t="str">
        <f>UPPER(R42)</f>
        <v/>
      </c>
      <c r="AG42" s="43" t="str">
        <f>UPPER(S42)</f>
        <v/>
      </c>
      <c r="AH42" s="43" t="str">
        <f>UPPER(T42)</f>
        <v/>
      </c>
    </row>
    <row r="43" spans="2:34" ht="22.5" customHeight="1" outlineLevel="1" thickBot="1" x14ac:dyDescent="0.25">
      <c r="B43" s="382"/>
      <c r="C43" s="384"/>
      <c r="D43" s="386"/>
      <c r="E43" s="304" t="s">
        <v>26</v>
      </c>
      <c r="F43" s="304" t="s">
        <v>79</v>
      </c>
      <c r="G43" s="304" t="s">
        <v>14</v>
      </c>
      <c r="H43" s="305" t="s">
        <v>63</v>
      </c>
      <c r="I43" s="417"/>
      <c r="J43" s="408"/>
      <c r="K43" s="408"/>
      <c r="L43" s="408"/>
      <c r="M43" s="408"/>
    </row>
    <row r="44" spans="2:34" ht="26.25" customHeight="1" outlineLevel="1" x14ac:dyDescent="0.2">
      <c r="B44" s="181">
        <v>1</v>
      </c>
      <c r="C44" s="182">
        <f>RESUMEN!C15</f>
        <v>2</v>
      </c>
      <c r="D44" s="183" t="str">
        <f>VLOOKUP(C44,RESUMEN!$C$15:$D$30,2,0)</f>
        <v>CONSORCIO NUEVAS VIAS 2018</v>
      </c>
      <c r="E44" s="184">
        <f>IF(ISTEXT('VR-PROP'!$J$59),"DESCARTADO",'VR-PROP'!$J$59)</f>
        <v>9238053994</v>
      </c>
      <c r="F44" s="185">
        <f>IF(ISTEXT(E44),"",E44/1000000000)</f>
        <v>9.2380539939999995</v>
      </c>
      <c r="G44" s="228">
        <f>IF(E44="DESCARTADO","DESCARTADO",(E44/$H$24)-1)</f>
        <v>-1.8436278178690424E-2</v>
      </c>
      <c r="H44" s="207">
        <f>IF(E44="DESCARTADO","DESCARTADO",IF(E44&lt;=$H$38,$H$25*(1-($H$38-E44)/$H$38),$H$25*(1-2*ABS($H$38-E44)/$H$38)))</f>
        <v>895.01858089651637</v>
      </c>
      <c r="I44" s="84">
        <f t="shared" ref="I44:I59" si="0">IF(ISTEXT(E44),"",E44/$H$24)</f>
        <v>0.98156372182130958</v>
      </c>
      <c r="J44" s="85">
        <f t="shared" ref="J44:J59" si="1">IF(ISTEXT(E44),"",E44/$H$28)</f>
        <v>0.99446508988501825</v>
      </c>
      <c r="K44" s="85">
        <f t="shared" ref="K44:K59" si="2">IF(ISTEXT(E44),"",E44/$H$30)</f>
        <v>0.98904074119601781</v>
      </c>
      <c r="L44" s="85">
        <f>IF(ISTEXT(E44),"",E44/$H$35)</f>
        <v>0.99123564140472142</v>
      </c>
      <c r="M44" s="85" t="e">
        <f>IF(ISTEXT(E44),"",E44/#REF!)</f>
        <v>#REF!</v>
      </c>
      <c r="N44" s="244">
        <f t="shared" ref="N44:N59" si="3">IF(E44="DESCARTADO","",COUNTIF($E$44:$E$59,E44))</f>
        <v>1</v>
      </c>
      <c r="O44" s="245">
        <f>IF(E44="DESCARTADO","",ABS(E44-E45))</f>
        <v>2888374</v>
      </c>
      <c r="P44" s="226"/>
    </row>
    <row r="45" spans="2:34" ht="26.25" customHeight="1" outlineLevel="1" x14ac:dyDescent="0.2">
      <c r="B45" s="186">
        <v>2</v>
      </c>
      <c r="C45" s="187">
        <f>RESUMEN!C16</f>
        <v>4</v>
      </c>
      <c r="D45" s="188" t="str">
        <f>VLOOKUP(C45,RESUMEN!$C$15:$D$30,2,0)</f>
        <v>UNION TEMPORAL ZRE PUERTO CAICEDO</v>
      </c>
      <c r="E45" s="189">
        <f>IF(ISTEXT('VR-PROP'!$M$59),"DESCARTADO",'VR-PROP'!$M$59)</f>
        <v>9240942368</v>
      </c>
      <c r="F45" s="190">
        <f t="shared" ref="F45:F59" si="4">IF(ISTEXT(E45),"",E45/1000000000)</f>
        <v>9.2409423680000007</v>
      </c>
      <c r="G45" s="229">
        <f t="shared" ref="G45:G59" si="5">IF(E45="DESCARTADO","DESCARTADO",(E45/$H$24)-1)</f>
        <v>-1.8129382036354169E-2</v>
      </c>
      <c r="H45" s="207">
        <f t="shared" ref="H45:H59" si="6">IF(E45="DESCARTADO","DESCARTADO",IF(E45&lt;=$H$38,$H$25*(1-($H$38-E45)/$H$38),$H$25*(1-2*ABS($H$38-E45)/$H$38)))</f>
        <v>895.29841779725962</v>
      </c>
      <c r="I45" s="84">
        <f t="shared" si="0"/>
        <v>0.98187061796364583</v>
      </c>
      <c r="J45" s="85">
        <f t="shared" si="1"/>
        <v>0.99477601977473284</v>
      </c>
      <c r="K45" s="85">
        <f t="shared" si="2"/>
        <v>0.98934997510650013</v>
      </c>
      <c r="L45" s="85">
        <f t="shared" ref="L45:L59" si="7">IF(ISTEXT(E45),"",E45/$H$35)</f>
        <v>0.99154556157366236</v>
      </c>
      <c r="M45" s="85" t="e">
        <f>IF(ISTEXT(E45),"",E45/#REF!)</f>
        <v>#REF!</v>
      </c>
      <c r="N45" s="244">
        <f t="shared" si="3"/>
        <v>1</v>
      </c>
      <c r="O45" s="245">
        <f t="shared" ref="O45:O58" si="8">IF(E45="DESCARTADO","",ABS(E45-E46))</f>
        <v>33009659</v>
      </c>
      <c r="P45" s="226"/>
    </row>
    <row r="46" spans="2:34" ht="26.25" customHeight="1" outlineLevel="1" x14ac:dyDescent="0.2">
      <c r="B46" s="186">
        <v>3</v>
      </c>
      <c r="C46" s="187">
        <f>RESUMEN!C17</f>
        <v>12</v>
      </c>
      <c r="D46" s="188" t="str">
        <f>VLOOKUP(C46,RESUMEN!$C$15:$D$30,2,0)</f>
        <v>TRAINING TRABAJOS DE INGENIERIA SAS</v>
      </c>
      <c r="E46" s="189">
        <f>IF(ISTEXT('VR-PROP'!$P$59),"DESCARTADO",'VR-PROP'!$P$59)</f>
        <v>9273952027</v>
      </c>
      <c r="F46" s="190">
        <f t="shared" si="4"/>
        <v>9.273952027</v>
      </c>
      <c r="G46" s="229">
        <f t="shared" si="5"/>
        <v>-1.4622032570207333E-2</v>
      </c>
      <c r="H46" s="207">
        <f t="shared" si="6"/>
        <v>898.49652187559104</v>
      </c>
      <c r="I46" s="84">
        <f t="shared" si="0"/>
        <v>0.98537796742979267</v>
      </c>
      <c r="J46" s="85">
        <f t="shared" si="1"/>
        <v>0.99832946875065676</v>
      </c>
      <c r="K46" s="85">
        <f t="shared" si="2"/>
        <v>0.99288404165614275</v>
      </c>
      <c r="L46" s="85">
        <f t="shared" si="7"/>
        <v>0.99508747099881489</v>
      </c>
      <c r="M46" s="85" t="e">
        <f>IF(ISTEXT(E46),"",E46/#REF!)</f>
        <v>#REF!</v>
      </c>
      <c r="N46" s="244">
        <f t="shared" si="3"/>
        <v>1</v>
      </c>
      <c r="O46" s="245">
        <f t="shared" si="8"/>
        <v>22258634</v>
      </c>
      <c r="P46" s="226"/>
    </row>
    <row r="47" spans="2:34" ht="26.25" customHeight="1" outlineLevel="1" x14ac:dyDescent="0.2">
      <c r="B47" s="186">
        <v>4</v>
      </c>
      <c r="C47" s="187">
        <f>RESUMEN!C18</f>
        <v>14</v>
      </c>
      <c r="D47" s="188" t="str">
        <f>VLOOKUP(C47,RESUMEN!$C$15:$D$30,2,0)</f>
        <v>CONSORCIO ALIANZA</v>
      </c>
      <c r="E47" s="189">
        <f>IF(ISTEXT('VR-PROP'!$S$59),"DESCARTADO",'VR-PROP'!$S$59)</f>
        <v>9296210661</v>
      </c>
      <c r="F47" s="190">
        <f t="shared" si="4"/>
        <v>9.2962106609999999</v>
      </c>
      <c r="G47" s="229">
        <f t="shared" si="5"/>
        <v>-1.2257003350212625E-2</v>
      </c>
      <c r="H47" s="207">
        <f t="shared" si="6"/>
        <v>898.69395027844496</v>
      </c>
      <c r="I47" s="84">
        <f t="shared" si="0"/>
        <v>0.98774299664978737</v>
      </c>
      <c r="J47" s="85">
        <f t="shared" si="1"/>
        <v>1.0007255831786417</v>
      </c>
      <c r="K47" s="85">
        <f t="shared" si="2"/>
        <v>0.99526708638435812</v>
      </c>
      <c r="L47" s="85">
        <f t="shared" si="7"/>
        <v>0.99747580423047955</v>
      </c>
      <c r="M47" s="85" t="e">
        <f>IF(ISTEXT(E47),"",E47/#REF!)</f>
        <v>#REF!</v>
      </c>
      <c r="N47" s="244">
        <f t="shared" si="3"/>
        <v>1</v>
      </c>
      <c r="O47" s="245" t="e">
        <f t="shared" si="8"/>
        <v>#VALUE!</v>
      </c>
      <c r="P47" s="226"/>
    </row>
    <row r="48" spans="2:34" ht="26.25" customHeight="1" outlineLevel="1" x14ac:dyDescent="0.2">
      <c r="B48" s="186">
        <v>5</v>
      </c>
      <c r="C48" s="187">
        <f>RESUMEN!C19</f>
        <v>15</v>
      </c>
      <c r="D48" s="188" t="str">
        <f>VLOOKUP(C48,RESUMEN!$C$15:$D$30,2,0)</f>
        <v>CONSORCIO ARIZONA</v>
      </c>
      <c r="E48" s="189" t="str">
        <f>IF(ISTEXT('VR-PROP'!$V$59),"DESCARTADO",'VR-PROP'!$V$59)</f>
        <v>DESCARTADO</v>
      </c>
      <c r="F48" s="190" t="str">
        <f t="shared" si="4"/>
        <v/>
      </c>
      <c r="G48" s="229" t="str">
        <f t="shared" si="5"/>
        <v>DESCARTADO</v>
      </c>
      <c r="H48" s="207" t="str">
        <f t="shared" si="6"/>
        <v>DESCARTADO</v>
      </c>
      <c r="I48" s="84" t="str">
        <f t="shared" si="0"/>
        <v/>
      </c>
      <c r="J48" s="85" t="str">
        <f t="shared" si="1"/>
        <v/>
      </c>
      <c r="K48" s="85" t="str">
        <f t="shared" si="2"/>
        <v/>
      </c>
      <c r="L48" s="85" t="str">
        <f t="shared" si="7"/>
        <v/>
      </c>
      <c r="M48" s="85" t="str">
        <f>IF(ISTEXT(E48),"",E48/#REF!)</f>
        <v/>
      </c>
      <c r="N48" s="244" t="str">
        <f t="shared" si="3"/>
        <v/>
      </c>
      <c r="O48" s="245" t="str">
        <f t="shared" si="8"/>
        <v/>
      </c>
      <c r="P48" s="226"/>
    </row>
    <row r="49" spans="2:16" ht="26.25" customHeight="1" outlineLevel="1" x14ac:dyDescent="0.2">
      <c r="B49" s="186">
        <v>6</v>
      </c>
      <c r="C49" s="187">
        <f>RESUMEN!C20</f>
        <v>16</v>
      </c>
      <c r="D49" s="188" t="str">
        <f>VLOOKUP(C49,RESUMEN!$C$15:$D$30,2,0)</f>
        <v>CONSORCIO PROYECTO 1</v>
      </c>
      <c r="E49" s="189" t="str">
        <f>IF(ISTEXT('VR-PROP'!$Y$59),"DESCARTADO",'VR-PROP'!$Y$59)</f>
        <v>DESCARTADO</v>
      </c>
      <c r="F49" s="190" t="str">
        <f t="shared" si="4"/>
        <v/>
      </c>
      <c r="G49" s="229" t="str">
        <f t="shared" si="5"/>
        <v>DESCARTADO</v>
      </c>
      <c r="H49" s="207" t="str">
        <f t="shared" si="6"/>
        <v>DESCARTADO</v>
      </c>
      <c r="I49" s="84" t="str">
        <f t="shared" si="0"/>
        <v/>
      </c>
      <c r="J49" s="85" t="str">
        <f t="shared" si="1"/>
        <v/>
      </c>
      <c r="K49" s="85" t="str">
        <f t="shared" si="2"/>
        <v/>
      </c>
      <c r="L49" s="85" t="str">
        <f t="shared" si="7"/>
        <v/>
      </c>
      <c r="M49" s="85" t="str">
        <f>IF(ISTEXT(E49),"",E49/#REF!)</f>
        <v/>
      </c>
      <c r="N49" s="244" t="str">
        <f t="shared" si="3"/>
        <v/>
      </c>
      <c r="O49" s="245" t="str">
        <f t="shared" si="8"/>
        <v/>
      </c>
      <c r="P49" s="226"/>
    </row>
    <row r="50" spans="2:16" ht="26.25" customHeight="1" outlineLevel="1" x14ac:dyDescent="0.2">
      <c r="B50" s="186">
        <v>7</v>
      </c>
      <c r="C50" s="187">
        <f>RESUMEN!C21</f>
        <v>17</v>
      </c>
      <c r="D50" s="188" t="str">
        <f>VLOOKUP(C50,RESUMEN!$C$15:$D$30,2,0)</f>
        <v>CONSORCIO VIAS NACIONALES 007</v>
      </c>
      <c r="E50" s="189">
        <f>IF(ISTEXT('VR-PROP'!$AB$59),"DESCARTADO",'VR-PROP'!$AB$59)</f>
        <v>9351750380</v>
      </c>
      <c r="F50" s="190">
        <f t="shared" si="4"/>
        <v>9.3517503800000004</v>
      </c>
      <c r="G50" s="229">
        <f t="shared" si="5"/>
        <v>-6.3557850496964718E-3</v>
      </c>
      <c r="H50" s="207">
        <f t="shared" si="6"/>
        <v>887.93214253948679</v>
      </c>
      <c r="I50" s="84">
        <f t="shared" si="0"/>
        <v>0.99364421495030353</v>
      </c>
      <c r="J50" s="85">
        <f t="shared" si="1"/>
        <v>1.0067043652558407</v>
      </c>
      <c r="K50" s="85">
        <f t="shared" si="2"/>
        <v>1.0012132569611112</v>
      </c>
      <c r="L50" s="85">
        <f t="shared" si="7"/>
        <v>1.0034351706752047</v>
      </c>
      <c r="M50" s="85" t="e">
        <f>IF(ISTEXT(E50),"",E50/#REF!)</f>
        <v>#REF!</v>
      </c>
      <c r="N50" s="244">
        <f t="shared" si="3"/>
        <v>1</v>
      </c>
      <c r="O50" s="245">
        <f t="shared" si="8"/>
        <v>131354921</v>
      </c>
      <c r="P50" s="226"/>
    </row>
    <row r="51" spans="2:16" ht="26.25" customHeight="1" outlineLevel="1" x14ac:dyDescent="0.2">
      <c r="B51" s="186">
        <v>8</v>
      </c>
      <c r="C51" s="187">
        <f>RESUMEN!C22</f>
        <v>18</v>
      </c>
      <c r="D51" s="188" t="str">
        <f>VLOOKUP(C51,RESUMEN!$C$15:$D$30,2,0)</f>
        <v>KMC SAS</v>
      </c>
      <c r="E51" s="189">
        <f>IF(ISTEXT('VR-PROP'!$AE$59),"DESCARTADO",'VR-PROP'!$AE$59)</f>
        <v>9220395459</v>
      </c>
      <c r="F51" s="190">
        <f t="shared" si="4"/>
        <v>9.2203954590000006</v>
      </c>
      <c r="G51" s="229">
        <f t="shared" si="5"/>
        <v>-2.0312536679427562E-2</v>
      </c>
      <c r="H51" s="207">
        <f t="shared" si="6"/>
        <v>893.30775338385229</v>
      </c>
      <c r="I51" s="84">
        <f t="shared" si="0"/>
        <v>0.97968746332057244</v>
      </c>
      <c r="J51" s="85">
        <f t="shared" si="1"/>
        <v>0.99256417042650258</v>
      </c>
      <c r="K51" s="85">
        <f t="shared" si="2"/>
        <v>0.98715019037696239</v>
      </c>
      <c r="L51" s="85">
        <f t="shared" si="7"/>
        <v>0.98934089503515465</v>
      </c>
      <c r="M51" s="85" t="e">
        <f>IF(ISTEXT(E51),"",E51/#REF!)</f>
        <v>#REF!</v>
      </c>
      <c r="N51" s="244">
        <f t="shared" si="3"/>
        <v>1</v>
      </c>
      <c r="O51" s="245" t="e">
        <f t="shared" si="8"/>
        <v>#VALUE!</v>
      </c>
      <c r="P51" s="226"/>
    </row>
    <row r="52" spans="2:16" ht="26.25" customHeight="1" outlineLevel="1" x14ac:dyDescent="0.2">
      <c r="B52" s="186">
        <v>9</v>
      </c>
      <c r="C52" s="187">
        <f>RESUMEN!C23</f>
        <v>19</v>
      </c>
      <c r="D52" s="188" t="str">
        <f>VLOOKUP(C52,RESUMEN!$C$15:$D$30,2,0)</f>
        <v>UNION TEMPORAL MDF</v>
      </c>
      <c r="E52" s="189" t="str">
        <f>IF(ISTEXT('VR-PROP'!$AH$59),"DESCARTADO",'VR-PROP'!$AH$59)</f>
        <v>DESCARTADO</v>
      </c>
      <c r="F52" s="190" t="str">
        <f t="shared" si="4"/>
        <v/>
      </c>
      <c r="G52" s="229" t="str">
        <f t="shared" si="5"/>
        <v>DESCARTADO</v>
      </c>
      <c r="H52" s="207" t="str">
        <f t="shared" si="6"/>
        <v>DESCARTADO</v>
      </c>
      <c r="I52" s="84" t="str">
        <f t="shared" si="0"/>
        <v/>
      </c>
      <c r="J52" s="85" t="str">
        <f t="shared" si="1"/>
        <v/>
      </c>
      <c r="K52" s="85" t="str">
        <f t="shared" si="2"/>
        <v/>
      </c>
      <c r="L52" s="85" t="str">
        <f t="shared" si="7"/>
        <v/>
      </c>
      <c r="M52" s="85" t="str">
        <f>IF(ISTEXT(E52),"",E52/#REF!)</f>
        <v/>
      </c>
      <c r="N52" s="244" t="str">
        <f t="shared" si="3"/>
        <v/>
      </c>
      <c r="O52" s="245" t="str">
        <f t="shared" si="8"/>
        <v/>
      </c>
      <c r="P52" s="226"/>
    </row>
    <row r="53" spans="2:16" ht="26.25" customHeight="1" outlineLevel="1" x14ac:dyDescent="0.2">
      <c r="B53" s="186">
        <v>10</v>
      </c>
      <c r="C53" s="187">
        <f>RESUMEN!C24</f>
        <v>20</v>
      </c>
      <c r="D53" s="188" t="str">
        <f>VLOOKUP(C53,RESUMEN!$C$15:$D$30,2,0)</f>
        <v>CONSORCIO PAVIMENTOS 2018</v>
      </c>
      <c r="E53" s="189" t="str">
        <f>IF(ISTEXT('VR-PROP'!$AK$59),"DESCARTADO",'VR-PROP'!$AK$59)</f>
        <v>DESCARTADO</v>
      </c>
      <c r="F53" s="190" t="str">
        <f t="shared" si="4"/>
        <v/>
      </c>
      <c r="G53" s="229" t="str">
        <f t="shared" si="5"/>
        <v>DESCARTADO</v>
      </c>
      <c r="H53" s="207" t="str">
        <f t="shared" si="6"/>
        <v>DESCARTADO</v>
      </c>
      <c r="I53" s="84" t="str">
        <f t="shared" si="0"/>
        <v/>
      </c>
      <c r="J53" s="85" t="str">
        <f t="shared" si="1"/>
        <v/>
      </c>
      <c r="K53" s="85" t="str">
        <f t="shared" si="2"/>
        <v/>
      </c>
      <c r="L53" s="85" t="str">
        <f t="shared" si="7"/>
        <v/>
      </c>
      <c r="M53" s="85" t="str">
        <f>IF(ISTEXT(E53),"",E53/#REF!)</f>
        <v/>
      </c>
      <c r="N53" s="244" t="str">
        <f t="shared" si="3"/>
        <v/>
      </c>
      <c r="O53" s="245" t="str">
        <f t="shared" si="8"/>
        <v/>
      </c>
      <c r="P53" s="226"/>
    </row>
    <row r="54" spans="2:16" ht="26.25" customHeight="1" outlineLevel="1" x14ac:dyDescent="0.2">
      <c r="B54" s="186">
        <v>11</v>
      </c>
      <c r="C54" s="187">
        <f>RESUMEN!C25</f>
        <v>21</v>
      </c>
      <c r="D54" s="188" t="str">
        <f>VLOOKUP(C54,RESUMEN!$C$15:$D$30,2,0)</f>
        <v>CONSORCIO SAN PEDRO PG</v>
      </c>
      <c r="E54" s="189" t="str">
        <f>IF(ISTEXT('VR-PROP'!$AN$59),"DESCARTADO",'VR-PROP'!$AN$59)</f>
        <v>DESCARTADO</v>
      </c>
      <c r="F54" s="190" t="str">
        <f t="shared" si="4"/>
        <v/>
      </c>
      <c r="G54" s="229" t="str">
        <f t="shared" si="5"/>
        <v>DESCARTADO</v>
      </c>
      <c r="H54" s="207" t="str">
        <f t="shared" si="6"/>
        <v>DESCARTADO</v>
      </c>
      <c r="I54" s="84" t="str">
        <f t="shared" si="0"/>
        <v/>
      </c>
      <c r="J54" s="85" t="str">
        <f t="shared" si="1"/>
        <v/>
      </c>
      <c r="K54" s="85" t="str">
        <f t="shared" si="2"/>
        <v/>
      </c>
      <c r="L54" s="85" t="str">
        <f t="shared" si="7"/>
        <v/>
      </c>
      <c r="M54" s="85" t="str">
        <f>IF(ISTEXT(E54),"",E54/#REF!)</f>
        <v/>
      </c>
      <c r="N54" s="244" t="str">
        <f t="shared" si="3"/>
        <v/>
      </c>
      <c r="O54" s="245" t="str">
        <f t="shared" si="8"/>
        <v/>
      </c>
      <c r="P54" s="226"/>
    </row>
    <row r="55" spans="2:16" ht="26.25" customHeight="1" outlineLevel="1" x14ac:dyDescent="0.2">
      <c r="B55" s="186">
        <v>12</v>
      </c>
      <c r="C55" s="187">
        <f>RESUMEN!C26</f>
        <v>22</v>
      </c>
      <c r="D55" s="188" t="str">
        <f>VLOOKUP(C55,RESUMEN!$C$15:$D$30,2,0)</f>
        <v>CONSORCIO MANZANARES</v>
      </c>
      <c r="E55" s="189" t="str">
        <f>IF(ISTEXT('VR-PROP'!$AQ$59),"DESCARTADO",'VR-PROP'!$AQ$59)</f>
        <v>DESCARTADO</v>
      </c>
      <c r="F55" s="190" t="str">
        <f t="shared" si="4"/>
        <v/>
      </c>
      <c r="G55" s="229" t="str">
        <f t="shared" si="5"/>
        <v>DESCARTADO</v>
      </c>
      <c r="H55" s="207" t="str">
        <f t="shared" si="6"/>
        <v>DESCARTADO</v>
      </c>
      <c r="I55" s="84" t="str">
        <f t="shared" si="0"/>
        <v/>
      </c>
      <c r="J55" s="85" t="str">
        <f t="shared" si="1"/>
        <v/>
      </c>
      <c r="K55" s="85" t="str">
        <f t="shared" si="2"/>
        <v/>
      </c>
      <c r="L55" s="85" t="str">
        <f t="shared" si="7"/>
        <v/>
      </c>
      <c r="M55" s="85" t="str">
        <f>IF(ISTEXT(E55),"",E55/#REF!)</f>
        <v/>
      </c>
      <c r="N55" s="244" t="str">
        <f t="shared" si="3"/>
        <v/>
      </c>
      <c r="O55" s="245" t="str">
        <f t="shared" si="8"/>
        <v/>
      </c>
      <c r="P55" s="226"/>
    </row>
    <row r="56" spans="2:16" ht="26.25" customHeight="1" outlineLevel="1" x14ac:dyDescent="0.2">
      <c r="B56" s="186">
        <v>13</v>
      </c>
      <c r="C56" s="187">
        <f>RESUMEN!C27</f>
        <v>24</v>
      </c>
      <c r="D56" s="188" t="str">
        <f>VLOOKUP(C56,RESUMEN!$C$15:$D$30,2,0)</f>
        <v>CONSORCIO OBRAS MI</v>
      </c>
      <c r="E56" s="189">
        <f>IF(ISTEXT('VR-PROP'!$AT$59),"DESCARTADO",'VR-PROP'!$AT$59)</f>
        <v>9303185844</v>
      </c>
      <c r="F56" s="190">
        <f t="shared" si="4"/>
        <v>9.3031858439999997</v>
      </c>
      <c r="G56" s="229">
        <f t="shared" si="5"/>
        <v>-1.1515874689315919E-2</v>
      </c>
      <c r="H56" s="207">
        <f t="shared" si="6"/>
        <v>897.34238459281289</v>
      </c>
      <c r="I56" s="84">
        <f t="shared" si="0"/>
        <v>0.98848412531068408</v>
      </c>
      <c r="J56" s="85">
        <f t="shared" si="1"/>
        <v>1.0014764530039928</v>
      </c>
      <c r="K56" s="85">
        <f t="shared" si="2"/>
        <v>0.99601386056090857</v>
      </c>
      <c r="L56" s="85">
        <f t="shared" si="7"/>
        <v>0.99822423566413554</v>
      </c>
      <c r="M56" s="85" t="e">
        <f>IF(ISTEXT(E56),"",E56/#REF!)</f>
        <v>#REF!</v>
      </c>
      <c r="N56" s="244">
        <f t="shared" si="3"/>
        <v>1</v>
      </c>
      <c r="O56" s="245" t="e">
        <f t="shared" si="8"/>
        <v>#VALUE!</v>
      </c>
      <c r="P56" s="226"/>
    </row>
    <row r="57" spans="2:16" ht="26.25" customHeight="1" outlineLevel="1" x14ac:dyDescent="0.2">
      <c r="B57" s="186">
        <v>14</v>
      </c>
      <c r="C57" s="187">
        <f>RESUMEN!C28</f>
        <v>26</v>
      </c>
      <c r="D57" s="188" t="str">
        <f>VLOOKUP(C57,RESUMEN!$C$15:$D$30,2,0)</f>
        <v>CONSORCIO VIAL PUTUMAYO</v>
      </c>
      <c r="E57" s="189" t="str">
        <f>IF(ISTEXT('VR-PROP'!$AW$59),"DESCARTADO",'VR-PROP'!$AW$59)</f>
        <v>DESCARTADO</v>
      </c>
      <c r="F57" s="190" t="str">
        <f t="shared" si="4"/>
        <v/>
      </c>
      <c r="G57" s="229" t="str">
        <f t="shared" si="5"/>
        <v>DESCARTADO</v>
      </c>
      <c r="H57" s="207" t="str">
        <f t="shared" si="6"/>
        <v>DESCARTADO</v>
      </c>
      <c r="I57" s="84" t="str">
        <f t="shared" si="0"/>
        <v/>
      </c>
      <c r="J57" s="85" t="str">
        <f t="shared" si="1"/>
        <v/>
      </c>
      <c r="K57" s="85" t="str">
        <f t="shared" si="2"/>
        <v/>
      </c>
      <c r="L57" s="85" t="str">
        <f t="shared" si="7"/>
        <v/>
      </c>
      <c r="M57" s="85" t="str">
        <f>IF(ISTEXT(E57),"",E57/#REF!)</f>
        <v/>
      </c>
      <c r="N57" s="244" t="str">
        <f t="shared" si="3"/>
        <v/>
      </c>
      <c r="O57" s="245" t="str">
        <f t="shared" si="8"/>
        <v/>
      </c>
      <c r="P57" s="226"/>
    </row>
    <row r="58" spans="2:16" ht="26.25" customHeight="1" outlineLevel="1" x14ac:dyDescent="0.2">
      <c r="B58" s="186">
        <v>15</v>
      </c>
      <c r="C58" s="187">
        <f>RESUMEN!C29</f>
        <v>27</v>
      </c>
      <c r="D58" s="188" t="str">
        <f>VLOOKUP(C58,RESUMEN!$C$15:$D$30,2,0)</f>
        <v>UNION TEMPORAL PAVIMENTOS ARIZONA</v>
      </c>
      <c r="E58" s="189">
        <f>IF(ISTEXT('VR-PROP'!$AZ$59),"DESCARTADO",'VR-PROP'!$AZ$59)</f>
        <v>9391365728</v>
      </c>
      <c r="F58" s="190">
        <f t="shared" si="4"/>
        <v>9.3913657280000002</v>
      </c>
      <c r="G58" s="229">
        <f t="shared" si="5"/>
        <v>-2.1465664794887429E-3</v>
      </c>
      <c r="H58" s="207">
        <f t="shared" si="6"/>
        <v>880.2559647272094</v>
      </c>
      <c r="I58" s="84">
        <f t="shared" si="0"/>
        <v>0.99785343352051126</v>
      </c>
      <c r="J58" s="85">
        <f t="shared" si="1"/>
        <v>1.0109689084848836</v>
      </c>
      <c r="K58" s="85">
        <f t="shared" si="2"/>
        <v>1.0054545390724852</v>
      </c>
      <c r="L58" s="85">
        <f t="shared" si="7"/>
        <v>1.0076858651298761</v>
      </c>
      <c r="M58" s="85" t="e">
        <f>IF(ISTEXT(E58),"",E58/#REF!)</f>
        <v>#REF!</v>
      </c>
      <c r="N58" s="244">
        <f t="shared" si="3"/>
        <v>1</v>
      </c>
      <c r="O58" s="245">
        <f t="shared" si="8"/>
        <v>101988791</v>
      </c>
      <c r="P58" s="226"/>
    </row>
    <row r="59" spans="2:16" ht="26.25" customHeight="1" outlineLevel="1" x14ac:dyDescent="0.2">
      <c r="B59" s="186">
        <v>16</v>
      </c>
      <c r="C59" s="187">
        <f>RESUMEN!C30</f>
        <v>28</v>
      </c>
      <c r="D59" s="188" t="str">
        <f>VLOOKUP(C59,RESUMEN!$C$15:$D$30,2,0)</f>
        <v>OBRAS CIVILES Y EQUIPOS SAS – OCIEQUIPOS SAS</v>
      </c>
      <c r="E59" s="189">
        <f>IF(ISTEXT('VR-PROP'!$BC$59),"DESCARTADO",'VR-PROP'!$BC$59)</f>
        <v>9289376937</v>
      </c>
      <c r="F59" s="190">
        <f t="shared" si="4"/>
        <v>9.2893769370000001</v>
      </c>
      <c r="G59" s="229">
        <f t="shared" si="5"/>
        <v>-1.2983101678680553E-2</v>
      </c>
      <c r="H59" s="207">
        <f t="shared" si="6"/>
        <v>899.99094711575776</v>
      </c>
      <c r="I59" s="84">
        <f t="shared" si="0"/>
        <v>0.98701689832131945</v>
      </c>
      <c r="J59" s="85">
        <f t="shared" si="1"/>
        <v>0.99998994123973084</v>
      </c>
      <c r="K59" s="85">
        <f t="shared" si="2"/>
        <v>0.9945354570331465</v>
      </c>
      <c r="L59" s="85">
        <f t="shared" si="7"/>
        <v>0.99674255123188027</v>
      </c>
      <c r="M59" s="85" t="e">
        <f>IF(ISTEXT(E59),"",E59/#REF!)</f>
        <v>#REF!</v>
      </c>
      <c r="N59" s="244">
        <f t="shared" si="3"/>
        <v>1</v>
      </c>
      <c r="O59" s="245" t="e">
        <f>IF(E59="DESCARTADO","",ABS(E59-#REF!))</f>
        <v>#REF!</v>
      </c>
      <c r="P59" s="226"/>
    </row>
    <row r="60" spans="2:16" customFormat="1" ht="13.5" outlineLevel="1" thickBot="1" x14ac:dyDescent="0.25">
      <c r="N60" s="220"/>
      <c r="O60" s="203"/>
      <c r="P60" s="201"/>
    </row>
    <row r="61" spans="2:16" customFormat="1" ht="15" x14ac:dyDescent="0.2">
      <c r="B61" s="402" t="s">
        <v>65</v>
      </c>
      <c r="C61" s="403"/>
      <c r="D61" s="403"/>
      <c r="E61" s="403"/>
      <c r="F61" s="403"/>
      <c r="G61" s="403"/>
      <c r="H61" s="404"/>
      <c r="O61" s="203"/>
      <c r="P61" s="201"/>
    </row>
    <row r="62" spans="2:16" customFormat="1" x14ac:dyDescent="0.2">
      <c r="B62" s="405" t="s">
        <v>66</v>
      </c>
      <c r="C62" s="406"/>
      <c r="D62" s="406"/>
      <c r="E62" s="406"/>
      <c r="F62" s="406"/>
      <c r="G62" s="406"/>
      <c r="H62" s="306" t="s">
        <v>67</v>
      </c>
      <c r="O62" s="201"/>
      <c r="P62" s="201"/>
    </row>
    <row r="63" spans="2:16" customFormat="1" x14ac:dyDescent="0.2">
      <c r="B63" s="379" t="s">
        <v>68</v>
      </c>
      <c r="C63" s="380"/>
      <c r="D63" s="380"/>
      <c r="E63" s="380"/>
      <c r="F63" s="380"/>
      <c r="G63" s="380"/>
      <c r="H63" s="112">
        <f>COUNTIF(H44:H59,"DESCARTADO")</f>
        <v>7</v>
      </c>
      <c r="L63" s="43"/>
      <c r="M63" s="43"/>
      <c r="O63" s="201"/>
      <c r="P63" s="201"/>
    </row>
    <row r="64" spans="2:16" ht="13.15" customHeight="1" x14ac:dyDescent="0.2">
      <c r="B64" s="379" t="s">
        <v>70</v>
      </c>
      <c r="C64" s="380"/>
      <c r="D64" s="380"/>
      <c r="E64" s="380"/>
      <c r="F64" s="380"/>
      <c r="G64" s="380"/>
      <c r="H64" s="113">
        <f>COUNTIF(E44:E59,"&lt;="&amp;H38)</f>
        <v>5</v>
      </c>
      <c r="I64"/>
      <c r="J64"/>
      <c r="K64"/>
    </row>
    <row r="65" spans="2:38" ht="13.15" customHeight="1" x14ac:dyDescent="0.2">
      <c r="B65" s="379" t="s">
        <v>69</v>
      </c>
      <c r="C65" s="380"/>
      <c r="D65" s="380"/>
      <c r="E65" s="380"/>
      <c r="F65" s="380"/>
      <c r="G65" s="380"/>
      <c r="H65" s="113">
        <f>COUNTIF(E44:E59,"&gt;"&amp;H38)</f>
        <v>4</v>
      </c>
      <c r="I65"/>
      <c r="J65"/>
      <c r="K65"/>
    </row>
    <row r="66" spans="2:38" ht="13.15" customHeight="1" x14ac:dyDescent="0.2">
      <c r="B66" s="379" t="s">
        <v>71</v>
      </c>
      <c r="C66" s="380"/>
      <c r="D66" s="380"/>
      <c r="E66" s="380"/>
      <c r="F66" s="380"/>
      <c r="G66" s="380"/>
      <c r="H66" s="114">
        <f>DMIN(G42:H59,1,G70:H71)</f>
        <v>-1.2983101678680553E-2</v>
      </c>
      <c r="I66"/>
      <c r="J66"/>
      <c r="K66"/>
      <c r="L66"/>
      <c r="M66"/>
      <c r="N66"/>
    </row>
    <row r="67" spans="2:38" ht="13.9" customHeight="1" x14ac:dyDescent="0.2">
      <c r="B67" s="379" t="s">
        <v>73</v>
      </c>
      <c r="C67" s="380"/>
      <c r="D67" s="380"/>
      <c r="E67" s="380"/>
      <c r="F67" s="380"/>
      <c r="G67" s="380"/>
      <c r="H67" s="118">
        <f>IF(H18=0,"",DGET(C42:H59,1,H70:H71))</f>
        <v>28</v>
      </c>
      <c r="I67"/>
      <c r="J67"/>
      <c r="K67"/>
      <c r="L67"/>
      <c r="M67"/>
      <c r="N67"/>
    </row>
    <row r="68" spans="2:38" s="42" customFormat="1" ht="26.25" thickBot="1" x14ac:dyDescent="0.25">
      <c r="B68" s="387" t="s">
        <v>72</v>
      </c>
      <c r="C68" s="388"/>
      <c r="D68" s="388"/>
      <c r="E68" s="388"/>
      <c r="F68" s="388"/>
      <c r="G68" s="388"/>
      <c r="H68" s="115" t="str">
        <f>IF(H18=0,"",DGET(C42:M59,2,H70:H71))</f>
        <v>OBRAS CIVILES Y EQUIPOS SAS – OCIEQUIPOS SAS</v>
      </c>
      <c r="I68" s="158"/>
      <c r="J68" s="158"/>
      <c r="K68" s="158"/>
      <c r="L68" s="158"/>
      <c r="M68" s="158"/>
      <c r="N68" s="158"/>
      <c r="O68" s="202"/>
      <c r="P68" s="202"/>
    </row>
    <row r="69" spans="2:38" ht="13.5" customHeight="1" x14ac:dyDescent="0.2">
      <c r="B69"/>
      <c r="C69"/>
      <c r="D69"/>
      <c r="E69"/>
      <c r="F69"/>
      <c r="H69" s="43"/>
      <c r="I69" s="43"/>
      <c r="J69"/>
      <c r="K69"/>
      <c r="L69"/>
      <c r="M69"/>
      <c r="N69"/>
    </row>
    <row r="70" spans="2:38" ht="22.5" hidden="1" x14ac:dyDescent="0.2">
      <c r="B70"/>
      <c r="C70"/>
      <c r="D70"/>
      <c r="E70"/>
      <c r="F70"/>
      <c r="G70" s="116" t="s">
        <v>27</v>
      </c>
      <c r="H70" s="116" t="s">
        <v>5</v>
      </c>
      <c r="I70" s="43"/>
      <c r="J70"/>
      <c r="K70"/>
      <c r="L70"/>
      <c r="M70"/>
      <c r="N70"/>
    </row>
    <row r="71" spans="2:38" ht="13.5" hidden="1" customHeight="1" thickBot="1" x14ac:dyDescent="0.25">
      <c r="B71"/>
      <c r="C71"/>
      <c r="D71"/>
      <c r="E71"/>
      <c r="F71"/>
      <c r="G71" s="47" t="s">
        <v>15</v>
      </c>
      <c r="H71" s="117">
        <f>MAX(H44:H59)</f>
        <v>899.99094711575776</v>
      </c>
      <c r="I71" s="43"/>
      <c r="J71"/>
      <c r="K71"/>
      <c r="L71"/>
      <c r="M71"/>
      <c r="N71"/>
    </row>
    <row r="72" spans="2:38" x14ac:dyDescent="0.2">
      <c r="B72"/>
      <c r="C72"/>
      <c r="D72"/>
      <c r="E72"/>
      <c r="F72"/>
      <c r="H72" s="43"/>
      <c r="I72" s="43"/>
      <c r="J72"/>
      <c r="K72"/>
      <c r="L72"/>
      <c r="M72"/>
      <c r="N72"/>
    </row>
    <row r="73" spans="2:38" ht="13.5" customHeight="1" x14ac:dyDescent="0.2">
      <c r="B73"/>
      <c r="C73"/>
      <c r="D73"/>
      <c r="E73"/>
      <c r="F73"/>
      <c r="H73" s="43"/>
      <c r="I73" s="43"/>
      <c r="J73"/>
      <c r="K73"/>
      <c r="L73"/>
      <c r="M73"/>
      <c r="N73"/>
    </row>
    <row r="74" spans="2:38" ht="13.5" customHeight="1" x14ac:dyDescent="0.2">
      <c r="B74"/>
      <c r="C74"/>
      <c r="D74"/>
      <c r="E74"/>
      <c r="F74"/>
      <c r="H74" s="43"/>
      <c r="I74" s="43"/>
      <c r="J74"/>
      <c r="K74"/>
      <c r="L74"/>
      <c r="M74"/>
      <c r="N74"/>
    </row>
    <row r="75" spans="2:38" ht="13.5" customHeight="1" x14ac:dyDescent="0.2">
      <c r="B75"/>
      <c r="C75"/>
      <c r="D75"/>
      <c r="E75"/>
      <c r="F75"/>
      <c r="H75" s="43"/>
      <c r="I75" s="43"/>
      <c r="J75"/>
      <c r="K75"/>
      <c r="L75"/>
      <c r="M75"/>
      <c r="N75"/>
    </row>
    <row r="76" spans="2:38" ht="16.5" customHeight="1" x14ac:dyDescent="0.2">
      <c r="B76"/>
      <c r="C76"/>
      <c r="D76"/>
      <c r="E76"/>
      <c r="F76"/>
      <c r="H76" s="43"/>
      <c r="I76" s="43"/>
      <c r="J76"/>
      <c r="K76"/>
      <c r="L76"/>
      <c r="M76"/>
      <c r="N76"/>
    </row>
    <row r="77" spans="2:38" s="222" customFormat="1" x14ac:dyDescent="0.2">
      <c r="B77" s="221"/>
      <c r="C77" s="221"/>
      <c r="J77" s="223"/>
      <c r="K77" s="221"/>
      <c r="L77" s="221"/>
      <c r="M77" s="221"/>
      <c r="N77" s="221"/>
      <c r="O77" s="224"/>
      <c r="P77" s="224"/>
      <c r="Q77" s="225">
        <v>246500889410</v>
      </c>
      <c r="R77" s="225">
        <v>242851543086</v>
      </c>
      <c r="S77" s="225">
        <v>255815367666</v>
      </c>
      <c r="T77" s="225">
        <v>229461585210</v>
      </c>
      <c r="U77" s="225">
        <v>251294023456</v>
      </c>
      <c r="V77" s="225">
        <v>256143018798</v>
      </c>
      <c r="W77" s="225">
        <v>254559622968</v>
      </c>
      <c r="X77" s="225">
        <v>259137028741</v>
      </c>
      <c r="Y77" s="225">
        <v>248849829575</v>
      </c>
      <c r="Z77" s="225">
        <v>246405951109</v>
      </c>
      <c r="AA77" s="225">
        <v>241537467742</v>
      </c>
      <c r="AB77" s="225">
        <v>248820873611</v>
      </c>
      <c r="AC77" s="225">
        <v>236679277932</v>
      </c>
      <c r="AD77" s="225">
        <v>231590047547</v>
      </c>
      <c r="AE77" s="225">
        <v>227321068593</v>
      </c>
      <c r="AF77" s="225">
        <v>249585224523</v>
      </c>
      <c r="AG77" s="225">
        <v>259120341261</v>
      </c>
      <c r="AH77" s="225">
        <v>250076291918</v>
      </c>
      <c r="AI77" s="225">
        <v>260048521564</v>
      </c>
      <c r="AJ77" s="225">
        <v>239541109341</v>
      </c>
      <c r="AK77" s="225">
        <v>250814634168</v>
      </c>
      <c r="AL77" s="225">
        <v>242211742393</v>
      </c>
    </row>
    <row r="78" spans="2:38" x14ac:dyDescent="0.2">
      <c r="K78"/>
      <c r="L78"/>
      <c r="M78"/>
      <c r="N78"/>
    </row>
    <row r="79" spans="2:38" x14ac:dyDescent="0.2">
      <c r="G79" s="46"/>
      <c r="K79"/>
      <c r="L79"/>
      <c r="M79"/>
      <c r="N79"/>
    </row>
    <row r="80" spans="2:38" x14ac:dyDescent="0.2">
      <c r="K80"/>
      <c r="L80"/>
      <c r="M80"/>
      <c r="N80"/>
    </row>
    <row r="81" spans="11:14" x14ac:dyDescent="0.2">
      <c r="K81"/>
      <c r="L81"/>
      <c r="M81"/>
      <c r="N81"/>
    </row>
    <row r="82" spans="11:14" x14ac:dyDescent="0.2">
      <c r="K82"/>
      <c r="L82"/>
      <c r="M82"/>
      <c r="N82"/>
    </row>
    <row r="83" spans="11:14" x14ac:dyDescent="0.2">
      <c r="K83"/>
      <c r="L83"/>
      <c r="M83"/>
      <c r="N83"/>
    </row>
    <row r="84" spans="11:14" x14ac:dyDescent="0.2">
      <c r="K84"/>
      <c r="L84"/>
      <c r="M84"/>
      <c r="N84"/>
    </row>
    <row r="85" spans="11:14" x14ac:dyDescent="0.2">
      <c r="K85"/>
      <c r="L85"/>
      <c r="M85"/>
      <c r="N85"/>
    </row>
    <row r="86" spans="11:14" x14ac:dyDescent="0.2">
      <c r="K86"/>
      <c r="L86"/>
      <c r="M86"/>
      <c r="N86"/>
    </row>
    <row r="87" spans="11:14" x14ac:dyDescent="0.2">
      <c r="K87"/>
      <c r="L87"/>
      <c r="M87"/>
      <c r="N87"/>
    </row>
    <row r="88" spans="11:14" x14ac:dyDescent="0.2">
      <c r="K88"/>
      <c r="L88"/>
      <c r="M88"/>
      <c r="N88"/>
    </row>
    <row r="89" spans="11:14" x14ac:dyDescent="0.2">
      <c r="K89"/>
      <c r="L89"/>
      <c r="M89"/>
      <c r="N89"/>
    </row>
  </sheetData>
  <sheetProtection selectLockedCells="1"/>
  <dataConsolidate/>
  <mergeCells count="39">
    <mergeCell ref="B7:H7"/>
    <mergeCell ref="B9:H9"/>
    <mergeCell ref="B10:H10"/>
    <mergeCell ref="B1:H1"/>
    <mergeCell ref="B2:H2"/>
    <mergeCell ref="B3:H3"/>
    <mergeCell ref="B4:H4"/>
    <mergeCell ref="B5:H5"/>
    <mergeCell ref="M42:M43"/>
    <mergeCell ref="B27:H27"/>
    <mergeCell ref="B29:H29"/>
    <mergeCell ref="B31:H31"/>
    <mergeCell ref="E38:G38"/>
    <mergeCell ref="L42:L43"/>
    <mergeCell ref="K42:K43"/>
    <mergeCell ref="B41:H41"/>
    <mergeCell ref="I42:I43"/>
    <mergeCell ref="J42:J43"/>
    <mergeCell ref="B68:G68"/>
    <mergeCell ref="B67:G67"/>
    <mergeCell ref="B12:H12"/>
    <mergeCell ref="B28:G28"/>
    <mergeCell ref="B30:G30"/>
    <mergeCell ref="B17:H17"/>
    <mergeCell ref="B38:D38"/>
    <mergeCell ref="B32:G32"/>
    <mergeCell ref="B33:G33"/>
    <mergeCell ref="B34:G34"/>
    <mergeCell ref="B35:G35"/>
    <mergeCell ref="E15:H15"/>
    <mergeCell ref="B61:H61"/>
    <mergeCell ref="B66:G66"/>
    <mergeCell ref="B62:G62"/>
    <mergeCell ref="B63:G63"/>
    <mergeCell ref="B64:G64"/>
    <mergeCell ref="B65:G65"/>
    <mergeCell ref="B42:B43"/>
    <mergeCell ref="C42:C43"/>
    <mergeCell ref="D42:D43"/>
  </mergeCells>
  <conditionalFormatting sqref="B44:H59">
    <cfRule type="expression" dxfId="11" priority="14" stopIfTrue="1">
      <formula>MOD(ROW(),2)</formula>
    </cfRule>
  </conditionalFormatting>
  <conditionalFormatting sqref="E44:F59">
    <cfRule type="cellIs" dxfId="10" priority="13" stopIfTrue="1" operator="equal">
      <formula>"NO ADMISIBLE"</formula>
    </cfRule>
  </conditionalFormatting>
  <conditionalFormatting sqref="E44:F59">
    <cfRule type="cellIs" dxfId="9" priority="12" stopIfTrue="1" operator="equal">
      <formula>"DESCARTADO"</formula>
    </cfRule>
  </conditionalFormatting>
  <dataValidations count="1">
    <dataValidation type="list" allowBlank="1" showInputMessage="1" showErrorMessage="1" sqref="O16">
      <formula1>METEVA</formula1>
    </dataValidation>
  </dataValidations>
  <printOptions horizontalCentered="1"/>
  <pageMargins left="0.23622047244094491" right="0.23622047244094491" top="0.74803149606299213" bottom="0.74803149606299213" header="0.31496062992125984" footer="0.31496062992125984"/>
  <pageSetup scale="85" fitToHeight="0" orientation="portrait" horizontalDpi="1200" verticalDpi="1200" r:id="rId1"/>
  <headerFooter alignWithMargins="0">
    <oddFooter>&amp;L&amp;9&amp;F&amp;A&amp;C&amp;P de &amp;N&amp;R&amp;9INSTITUTO NACIONAL DE VIAS&amp;D</oddFooter>
  </headerFooter>
  <rowBreaks count="1" manualBreakCount="1">
    <brk id="38" min="1" max="6" man="1"/>
  </rowBreaks>
  <ignoredErrors>
    <ignoredError sqref="H19:H20 H22:H2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2" tint="-0.749992370372631"/>
  </sheetPr>
  <dimension ref="B1:W35"/>
  <sheetViews>
    <sheetView showGridLines="0" topLeftCell="D13" zoomScale="110" zoomScaleNormal="110" zoomScaleSheetLayoutView="100" workbookViewId="0">
      <selection activeCell="Q37" sqref="Q37"/>
    </sheetView>
  </sheetViews>
  <sheetFormatPr baseColWidth="10" defaultColWidth="11.42578125" defaultRowHeight="12.75" x14ac:dyDescent="0.2"/>
  <cols>
    <col min="1" max="1" width="2.7109375" style="2" customWidth="1"/>
    <col min="2" max="2" width="10.28515625" style="2" bestFit="1" customWidth="1"/>
    <col min="3" max="3" width="10.28515625" style="2" customWidth="1"/>
    <col min="4" max="4" width="37.85546875" style="2" bestFit="1" customWidth="1"/>
    <col min="5" max="5" width="17.42578125" style="2" bestFit="1" customWidth="1"/>
    <col min="6" max="6" width="16" style="2" customWidth="1"/>
    <col min="7" max="7" width="13.28515625" style="2" customWidth="1"/>
    <col min="8" max="8" width="13.28515625" style="2" hidden="1" customWidth="1"/>
    <col min="9" max="9" width="13.28515625" style="2" customWidth="1"/>
    <col min="10" max="10" width="16.28515625" style="2" hidden="1" customWidth="1"/>
    <col min="11" max="11" width="12.85546875" style="2" customWidth="1"/>
    <col min="12" max="12" width="11.42578125" style="2" hidden="1" customWidth="1"/>
    <col min="13" max="13" width="4.7109375" style="2" hidden="1" customWidth="1"/>
    <col min="14" max="14" width="4.7109375" style="2" customWidth="1"/>
    <col min="15" max="15" width="16" style="3" hidden="1" customWidth="1"/>
    <col min="16" max="16" width="9.28515625" style="3" bestFit="1" customWidth="1"/>
    <col min="17" max="17" width="57" style="2" customWidth="1"/>
    <col min="18" max="18" width="18.140625" style="2" customWidth="1"/>
    <col min="19" max="19" width="20.140625" style="2" bestFit="1" customWidth="1"/>
    <col min="20" max="20" width="5.28515625" style="2" customWidth="1"/>
    <col min="21" max="21" width="11.42578125" style="243" customWidth="1"/>
    <col min="22" max="23" width="11.42578125" style="243"/>
    <col min="24" max="16384" width="11.42578125" style="2"/>
  </cols>
  <sheetData>
    <row r="1" spans="2:19" ht="18" x14ac:dyDescent="0.2">
      <c r="B1" s="349" t="str">
        <f>RESUMEN!B1</f>
        <v>FIDUPREVISORA</v>
      </c>
      <c r="C1" s="349"/>
      <c r="D1" s="349"/>
      <c r="E1" s="349"/>
      <c r="F1" s="349"/>
      <c r="G1" s="349"/>
      <c r="H1" s="349"/>
      <c r="I1" s="349"/>
      <c r="J1" s="349"/>
      <c r="K1" s="349"/>
      <c r="L1" s="1"/>
      <c r="P1" s="349" t="str">
        <f>B1</f>
        <v>FIDUPREVISORA</v>
      </c>
      <c r="Q1" s="349"/>
      <c r="R1" s="349"/>
      <c r="S1" s="349"/>
    </row>
    <row r="2" spans="2:19" ht="15.75" x14ac:dyDescent="0.2">
      <c r="B2" s="334"/>
      <c r="C2" s="334"/>
      <c r="D2" s="334"/>
      <c r="E2" s="334"/>
      <c r="F2" s="334"/>
      <c r="G2" s="334"/>
      <c r="H2" s="334"/>
      <c r="I2" s="334"/>
      <c r="J2" s="334"/>
      <c r="K2" s="334"/>
      <c r="L2" s="4"/>
      <c r="P2" s="334">
        <f>B2</f>
        <v>0</v>
      </c>
      <c r="Q2" s="334"/>
      <c r="R2" s="334"/>
      <c r="S2" s="334"/>
    </row>
    <row r="3" spans="2:19" x14ac:dyDescent="0.2">
      <c r="B3" s="334" t="str">
        <f>RESUMEN!B3</f>
        <v>PATRIMONIO AUTÓNOMO FIDEICOMISO ECOPETROL ZOMAC (en adelante PATRIMONIO AUTÓNOMO) FIDUCIARIA LA PREVISORA S.A.</v>
      </c>
      <c r="C3" s="334"/>
      <c r="D3" s="334"/>
      <c r="E3" s="334"/>
      <c r="F3" s="334"/>
      <c r="G3" s="334"/>
      <c r="H3" s="334"/>
      <c r="I3" s="334"/>
      <c r="J3" s="334"/>
      <c r="K3" s="334"/>
      <c r="L3" s="5"/>
      <c r="P3" s="334" t="str">
        <f>B3</f>
        <v>PATRIMONIO AUTÓNOMO FIDEICOMISO ECOPETROL ZOMAC (en adelante PATRIMONIO AUTÓNOMO) FIDUCIARIA LA PREVISORA S.A.</v>
      </c>
      <c r="Q3" s="334"/>
      <c r="R3" s="334"/>
      <c r="S3" s="334"/>
    </row>
    <row r="4" spans="2:19" x14ac:dyDescent="0.2">
      <c r="B4" s="334"/>
      <c r="C4" s="334"/>
      <c r="D4" s="334"/>
      <c r="E4" s="334"/>
      <c r="F4" s="334"/>
      <c r="G4" s="334"/>
      <c r="H4" s="334"/>
      <c r="I4" s="334"/>
      <c r="J4" s="334"/>
      <c r="K4" s="334"/>
      <c r="L4" s="5"/>
      <c r="P4" s="334">
        <f>B4</f>
        <v>0</v>
      </c>
      <c r="Q4" s="334"/>
      <c r="R4" s="334"/>
      <c r="S4" s="334"/>
    </row>
    <row r="5" spans="2:19" x14ac:dyDescent="0.2">
      <c r="B5" s="334" t="str">
        <f>RESUMEN!B5</f>
        <v>LICITACIÓN PRIVADA ABIERTA N° 007 DE 2018</v>
      </c>
      <c r="C5" s="334"/>
      <c r="D5" s="334"/>
      <c r="E5" s="334"/>
      <c r="F5" s="334"/>
      <c r="G5" s="334"/>
      <c r="H5" s="334"/>
      <c r="I5" s="334"/>
      <c r="J5" s="334"/>
      <c r="K5" s="334"/>
      <c r="L5" s="5"/>
      <c r="P5" s="334" t="str">
        <f>B5</f>
        <v>LICITACIÓN PRIVADA ABIERTA N° 007 DE 2018</v>
      </c>
      <c r="Q5" s="334"/>
      <c r="R5" s="334"/>
      <c r="S5" s="334"/>
    </row>
    <row r="6" spans="2:19" x14ac:dyDescent="0.2">
      <c r="B6" s="49"/>
      <c r="C6" s="49"/>
      <c r="D6" s="5"/>
      <c r="E6" s="5"/>
      <c r="F6" s="5"/>
      <c r="G6" s="5"/>
      <c r="H6" s="5"/>
      <c r="I6" s="5"/>
      <c r="J6" s="5"/>
      <c r="K6" s="5"/>
      <c r="L6" s="5"/>
      <c r="P6" s="49"/>
      <c r="Q6" s="5"/>
      <c r="R6" s="5"/>
      <c r="S6" s="5"/>
    </row>
    <row r="7" spans="2:19" ht="39.75" customHeight="1" x14ac:dyDescent="0.2">
      <c r="B7" s="334" t="str">
        <f>RESUMEN!B7</f>
        <v>PROYECTO No. 1: MEJORAMIENTO DE VÍA MEDIANTE LA PAVIMENTACIÓN DE LA VÍA SAN PEDRO - ARIZONA, SEGUNDA ETAPA ABSC K3+743 A K6+543 Y DE K25+427 HASTA K27+927, MUNICIPIO DE PUERTO CAICEDO, DEPARTAMENTO DE PUTUMAYO VINCULADOS AL CONTRIBUYENTE ECOPETROL S.A. DENTRO DEL MARCO DEL MECANISMO DE OBRAS POR IMPUESTOS</v>
      </c>
      <c r="C7" s="334"/>
      <c r="D7" s="334"/>
      <c r="E7" s="334"/>
      <c r="F7" s="334"/>
      <c r="G7" s="334"/>
      <c r="H7" s="334"/>
      <c r="I7" s="334"/>
      <c r="J7" s="334"/>
      <c r="K7" s="334"/>
      <c r="L7" s="6"/>
      <c r="P7" s="334" t="str">
        <f>B7</f>
        <v>PROYECTO No. 1: MEJORAMIENTO DE VÍA MEDIANTE LA PAVIMENTACIÓN DE LA VÍA SAN PEDRO - ARIZONA, SEGUNDA ETAPA ABSC K3+743 A K6+543 Y DE K25+427 HASTA K27+927, MUNICIPIO DE PUERTO CAICEDO, DEPARTAMENTO DE PUTUMAYO VINCULADOS AL CONTRIBUYENTE ECOPETROL S.A. DENTRO DEL MARCO DEL MECANISMO DE OBRAS POR IMPUESTOS</v>
      </c>
      <c r="Q7" s="334"/>
      <c r="R7" s="334"/>
      <c r="S7" s="334"/>
    </row>
    <row r="8" spans="2:19" x14ac:dyDescent="0.2">
      <c r="B8" s="49" t="str">
        <f>IF(RESUMEN!B8="","",RESUMEN!B8)</f>
        <v/>
      </c>
      <c r="C8" s="49"/>
      <c r="D8" s="6"/>
      <c r="E8" s="6"/>
      <c r="F8" s="6"/>
      <c r="G8" s="6"/>
      <c r="H8" s="6"/>
      <c r="I8" s="6"/>
      <c r="J8" s="6"/>
      <c r="K8" s="6"/>
      <c r="L8" s="6"/>
      <c r="P8" s="49" t="str">
        <f>B8</f>
        <v/>
      </c>
      <c r="Q8" s="5"/>
      <c r="R8" s="5"/>
      <c r="S8" s="5"/>
    </row>
    <row r="9" spans="2:19" x14ac:dyDescent="0.2">
      <c r="B9" s="345" t="s">
        <v>29</v>
      </c>
      <c r="C9" s="345"/>
      <c r="D9" s="345"/>
      <c r="E9" s="345"/>
      <c r="F9" s="345"/>
      <c r="G9" s="345"/>
      <c r="H9" s="345"/>
      <c r="I9" s="345"/>
      <c r="J9" s="345"/>
      <c r="K9" s="345"/>
      <c r="L9" s="7"/>
      <c r="P9" s="49"/>
      <c r="Q9" s="5"/>
      <c r="R9" s="5"/>
      <c r="S9" s="5"/>
    </row>
    <row r="10" spans="2:19" x14ac:dyDescent="0.2">
      <c r="B10" s="334" t="s">
        <v>31</v>
      </c>
      <c r="C10" s="334"/>
      <c r="D10" s="334"/>
      <c r="E10" s="334"/>
      <c r="F10" s="334"/>
      <c r="G10" s="334"/>
      <c r="H10" s="334"/>
      <c r="I10" s="334"/>
      <c r="J10" s="334"/>
      <c r="K10" s="334"/>
      <c r="L10" s="7"/>
      <c r="P10" s="334" t="s">
        <v>35</v>
      </c>
      <c r="Q10" s="334"/>
      <c r="R10" s="334"/>
      <c r="S10" s="334"/>
    </row>
    <row r="11" spans="2:19" ht="13.5" thickBot="1" x14ac:dyDescent="0.25">
      <c r="B11" s="124"/>
      <c r="C11" s="124"/>
      <c r="D11" s="124"/>
      <c r="E11" s="124"/>
      <c r="F11" s="124"/>
      <c r="G11" s="125"/>
      <c r="H11" s="124"/>
      <c r="I11" s="124"/>
      <c r="J11" s="124"/>
      <c r="K11" s="124" t="s">
        <v>4</v>
      </c>
      <c r="L11" s="124"/>
      <c r="O11" s="426" t="s">
        <v>10</v>
      </c>
    </row>
    <row r="12" spans="2:19" ht="24.75" customHeight="1" thickTop="1" x14ac:dyDescent="0.2">
      <c r="B12" s="422" t="s">
        <v>37</v>
      </c>
      <c r="C12" s="419" t="s">
        <v>30</v>
      </c>
      <c r="D12" s="419" t="s">
        <v>6</v>
      </c>
      <c r="E12" s="419" t="s">
        <v>182</v>
      </c>
      <c r="F12" s="438" t="s">
        <v>27</v>
      </c>
      <c r="G12" s="435" t="s">
        <v>18</v>
      </c>
      <c r="H12" s="435"/>
      <c r="I12" s="435"/>
      <c r="J12" s="435"/>
      <c r="K12" s="436" t="s">
        <v>33</v>
      </c>
      <c r="L12" s="419" t="s">
        <v>34</v>
      </c>
      <c r="O12" s="426"/>
      <c r="P12" s="427" t="s">
        <v>36</v>
      </c>
      <c r="Q12" s="428"/>
      <c r="R12" s="429"/>
      <c r="S12" s="430"/>
    </row>
    <row r="13" spans="2:19" ht="52.5" customHeight="1" x14ac:dyDescent="0.2">
      <c r="B13" s="423"/>
      <c r="C13" s="420"/>
      <c r="D13" s="420"/>
      <c r="E13" s="420"/>
      <c r="F13" s="439"/>
      <c r="G13" s="310" t="s">
        <v>32</v>
      </c>
      <c r="H13" s="311"/>
      <c r="I13" s="310" t="s">
        <v>74</v>
      </c>
      <c r="J13" s="310"/>
      <c r="K13" s="437"/>
      <c r="L13" s="420"/>
      <c r="O13" s="426"/>
      <c r="P13" s="431">
        <f ca="1">VLOOKUP(Q16,D16:E31,2,FALSE)</f>
        <v>9289376937</v>
      </c>
      <c r="Q13" s="432"/>
      <c r="R13" s="433"/>
      <c r="S13" s="434"/>
    </row>
    <row r="14" spans="2:19" ht="33.75" customHeight="1" x14ac:dyDescent="0.25">
      <c r="B14" s="424"/>
      <c r="C14" s="421"/>
      <c r="D14" s="421"/>
      <c r="E14" s="312" t="s">
        <v>26</v>
      </c>
      <c r="F14" s="313" t="s">
        <v>14</v>
      </c>
      <c r="G14" s="314">
        <v>900</v>
      </c>
      <c r="H14" s="314"/>
      <c r="I14" s="314">
        <v>100</v>
      </c>
      <c r="J14" s="315"/>
      <c r="K14" s="316">
        <f>SUM(G14:J14)</f>
        <v>1000</v>
      </c>
      <c r="L14" s="421"/>
      <c r="O14" s="426"/>
      <c r="P14" s="307" t="s">
        <v>83</v>
      </c>
      <c r="Q14" s="308" t="s">
        <v>6</v>
      </c>
      <c r="R14" s="462" t="s">
        <v>82</v>
      </c>
      <c r="S14" s="309" t="s">
        <v>5</v>
      </c>
    </row>
    <row r="15" spans="2:19" ht="5.25" customHeight="1" x14ac:dyDescent="0.2">
      <c r="B15" s="136"/>
      <c r="C15" s="132"/>
      <c r="D15" s="133"/>
      <c r="E15" s="133"/>
      <c r="F15" s="134"/>
      <c r="G15" s="135"/>
      <c r="H15" s="135"/>
      <c r="I15" s="135"/>
      <c r="J15" s="135"/>
      <c r="K15" s="137"/>
      <c r="L15" s="137"/>
      <c r="P15" s="151"/>
      <c r="Q15" s="150"/>
      <c r="R15" s="150"/>
      <c r="S15" s="152"/>
    </row>
    <row r="16" spans="2:19" ht="36" x14ac:dyDescent="0.2">
      <c r="B16" s="144">
        <v>1</v>
      </c>
      <c r="C16" s="145">
        <f>RESUMEN!C15</f>
        <v>2</v>
      </c>
      <c r="D16" s="111" t="str">
        <f>VLOOKUP(C16,RESUMEN!$C$15:$D$30,2,0)</f>
        <v>CONSORCIO NUEVAS VIAS 2018</v>
      </c>
      <c r="E16" s="146">
        <f>VLOOKUP(C16,FORMULA!$C$44:$H$59,3,0)</f>
        <v>9238053994</v>
      </c>
      <c r="F16" s="230">
        <f>VLOOKUP(C16,FORMULA!$C$44:$H$59,5,0)</f>
        <v>-1.8436278178690424E-2</v>
      </c>
      <c r="G16" s="208">
        <f>VLOOKUP(C16,FORMULA!$C$44:$H$59,6,0)</f>
        <v>895.01858089651637</v>
      </c>
      <c r="H16" s="147">
        <f>VLOOKUP($C16,RESUMEN!$C$15:$I$30,4,FALSE)</f>
        <v>0</v>
      </c>
      <c r="I16" s="147">
        <f>VLOOKUP($C16,RESUMEN!$C$15:$I$30,5,FALSE)</f>
        <v>100</v>
      </c>
      <c r="J16" s="147">
        <f>VLOOKUP($C16,RESUMEN!$C$15:$I$30,6,FALSE)</f>
        <v>0</v>
      </c>
      <c r="K16" s="253">
        <f>IF(E16="DESCARTADO",-L16,SUM(G16:J16,-L16))</f>
        <v>995.01858089551638</v>
      </c>
      <c r="L16" s="148">
        <v>1.0000000000000001E-9</v>
      </c>
      <c r="M16" s="192">
        <f t="shared" ref="M16:M31" si="0">C16</f>
        <v>2</v>
      </c>
      <c r="O16" s="73">
        <f t="shared" ref="O16:O31" si="1">RANK(K16,$K$16:$K$31,0)</f>
        <v>6</v>
      </c>
      <c r="P16" s="156">
        <v>1</v>
      </c>
      <c r="Q16" s="157" t="str">
        <f ca="1">IF(P16="","",OFFSET($D$15,MATCH(B16,$O$16:$O$31,0),0))</f>
        <v>OBRAS CIVILES Y EQUIPOS SAS – OCIEQUIPOS SAS</v>
      </c>
      <c r="R16" s="193">
        <f t="shared" ref="R16:R31" ca="1" si="2">IF(Q16="","",VLOOKUP(Q16,$D$16:$M$31,10,FALSE))</f>
        <v>28</v>
      </c>
      <c r="S16" s="206">
        <f t="shared" ref="S16:S31" ca="1" si="3">IF(Q16="","",VLOOKUP(Q16,$D$16:$K$31,8,FALSE))</f>
        <v>999.99094711325779</v>
      </c>
    </row>
    <row r="17" spans="2:19" ht="18" x14ac:dyDescent="0.2">
      <c r="B17" s="144">
        <v>2</v>
      </c>
      <c r="C17" s="145">
        <f>RESUMEN!C16</f>
        <v>4</v>
      </c>
      <c r="D17" s="111" t="str">
        <f>VLOOKUP(C17,RESUMEN!$C$15:$D$30,2,0)</f>
        <v>UNION TEMPORAL ZRE PUERTO CAICEDO</v>
      </c>
      <c r="E17" s="146">
        <f>VLOOKUP(C17,FORMULA!$C$44:$H$59,3,0)</f>
        <v>9240942368</v>
      </c>
      <c r="F17" s="230">
        <f>VLOOKUP(C17,FORMULA!$C$44:$H$59,5,0)</f>
        <v>-1.8129382036354169E-2</v>
      </c>
      <c r="G17" s="208">
        <f>VLOOKUP(C17,FORMULA!$C$44:$H$59,6,0)</f>
        <v>895.29841779725962</v>
      </c>
      <c r="H17" s="147">
        <f>VLOOKUP($C17,RESUMEN!$C$15:$I$30,4,FALSE)</f>
        <v>0</v>
      </c>
      <c r="I17" s="147">
        <f>VLOOKUP($C17,RESUMEN!$C$15:$I$30,5,FALSE)</f>
        <v>100</v>
      </c>
      <c r="J17" s="147">
        <f>VLOOKUP($C17,RESUMEN!$C$15:$I$30,6,FALSE)</f>
        <v>0</v>
      </c>
      <c r="K17" s="253">
        <f t="shared" ref="K17:K31" si="4">IF(E17="DESCARTADO",-L17,SUM(G17:J17,-L17))</f>
        <v>995.29841779615958</v>
      </c>
      <c r="L17" s="148">
        <v>1.0999999999999999E-9</v>
      </c>
      <c r="M17" s="192">
        <f t="shared" si="0"/>
        <v>4</v>
      </c>
      <c r="O17" s="73">
        <f t="shared" si="1"/>
        <v>5</v>
      </c>
      <c r="P17" s="156">
        <f>P16+1</f>
        <v>2</v>
      </c>
      <c r="Q17" s="157" t="str">
        <f t="shared" ref="Q16:Q31" ca="1" si="5">IF(P17="","",OFFSET($D$15,MATCH(B17,$O$16:$O$31,0),0))</f>
        <v>CONSORCIO ALIANZA</v>
      </c>
      <c r="R17" s="193">
        <f t="shared" ca="1" si="2"/>
        <v>14</v>
      </c>
      <c r="S17" s="206">
        <f t="shared" ca="1" si="3"/>
        <v>998.69395027714495</v>
      </c>
    </row>
    <row r="18" spans="2:19" ht="18" x14ac:dyDescent="0.2">
      <c r="B18" s="144">
        <v>3</v>
      </c>
      <c r="C18" s="145">
        <f>RESUMEN!C17</f>
        <v>12</v>
      </c>
      <c r="D18" s="111" t="str">
        <f>VLOOKUP(C18,RESUMEN!$C$15:$D$30,2,0)</f>
        <v>TRAINING TRABAJOS DE INGENIERIA SAS</v>
      </c>
      <c r="E18" s="146">
        <f>VLOOKUP(C18,FORMULA!$C$44:$H$59,3,0)</f>
        <v>9273952027</v>
      </c>
      <c r="F18" s="230">
        <f>VLOOKUP(C18,FORMULA!$C$44:$H$59,5,0)</f>
        <v>-1.4622032570207333E-2</v>
      </c>
      <c r="G18" s="208">
        <f>VLOOKUP(C18,FORMULA!$C$44:$H$59,6,0)</f>
        <v>898.49652187559104</v>
      </c>
      <c r="H18" s="147">
        <f>VLOOKUP($C18,RESUMEN!$C$15:$I$30,4,FALSE)</f>
        <v>0</v>
      </c>
      <c r="I18" s="147">
        <f>VLOOKUP($C18,RESUMEN!$C$15:$I$30,5,FALSE)</f>
        <v>100</v>
      </c>
      <c r="J18" s="147">
        <f>VLOOKUP($C18,RESUMEN!$C$15:$I$30,6,FALSE)</f>
        <v>0</v>
      </c>
      <c r="K18" s="253">
        <f t="shared" si="4"/>
        <v>998.49652187439108</v>
      </c>
      <c r="L18" s="148">
        <v>1.2E-9</v>
      </c>
      <c r="M18" s="192">
        <f t="shared" si="0"/>
        <v>12</v>
      </c>
      <c r="O18" s="73">
        <f t="shared" si="1"/>
        <v>3</v>
      </c>
      <c r="P18" s="156">
        <f t="shared" ref="P18:P31" si="6">P17+1</f>
        <v>3</v>
      </c>
      <c r="Q18" s="157" t="str">
        <f t="shared" ca="1" si="5"/>
        <v>TRAINING TRABAJOS DE INGENIERIA SAS</v>
      </c>
      <c r="R18" s="193">
        <f t="shared" ca="1" si="2"/>
        <v>12</v>
      </c>
      <c r="S18" s="206">
        <f t="shared" ca="1" si="3"/>
        <v>998.49652187439108</v>
      </c>
    </row>
    <row r="19" spans="2:19" ht="18" x14ac:dyDescent="0.2">
      <c r="B19" s="144">
        <v>4</v>
      </c>
      <c r="C19" s="145">
        <f>RESUMEN!C18</f>
        <v>14</v>
      </c>
      <c r="D19" s="111" t="str">
        <f>VLOOKUP(C19,RESUMEN!$C$15:$D$30,2,0)</f>
        <v>CONSORCIO ALIANZA</v>
      </c>
      <c r="E19" s="146">
        <f>VLOOKUP(C19,FORMULA!$C$44:$H$59,3,0)</f>
        <v>9296210661</v>
      </c>
      <c r="F19" s="230">
        <f>VLOOKUP(C19,FORMULA!$C$44:$H$59,5,0)</f>
        <v>-1.2257003350212625E-2</v>
      </c>
      <c r="G19" s="208">
        <f>VLOOKUP(C19,FORMULA!$C$44:$H$59,6,0)</f>
        <v>898.69395027844496</v>
      </c>
      <c r="H19" s="147">
        <f>VLOOKUP($C19,RESUMEN!$C$15:$I$30,4,FALSE)</f>
        <v>0</v>
      </c>
      <c r="I19" s="147">
        <f>VLOOKUP($C19,RESUMEN!$C$15:$I$30,5,FALSE)</f>
        <v>100</v>
      </c>
      <c r="J19" s="147">
        <f>VLOOKUP($C19,RESUMEN!$C$15:$I$30,6,FALSE)</f>
        <v>0</v>
      </c>
      <c r="K19" s="253">
        <f t="shared" si="4"/>
        <v>998.69395027714495</v>
      </c>
      <c r="L19" s="148">
        <v>1.3000000000000001E-9</v>
      </c>
      <c r="M19" s="192">
        <f t="shared" si="0"/>
        <v>14</v>
      </c>
      <c r="O19" s="73">
        <f t="shared" si="1"/>
        <v>2</v>
      </c>
      <c r="P19" s="156">
        <f t="shared" si="6"/>
        <v>4</v>
      </c>
      <c r="Q19" s="157" t="str">
        <f t="shared" ca="1" si="5"/>
        <v>CONSORCIO OBRAS MI</v>
      </c>
      <c r="R19" s="193">
        <f t="shared" ca="1" si="2"/>
        <v>24</v>
      </c>
      <c r="S19" s="206">
        <f t="shared" ca="1" si="3"/>
        <v>997.34238459061294</v>
      </c>
    </row>
    <row r="20" spans="2:19" ht="18" x14ac:dyDescent="0.2">
      <c r="B20" s="144">
        <v>5</v>
      </c>
      <c r="C20" s="145">
        <f>RESUMEN!C19</f>
        <v>15</v>
      </c>
      <c r="D20" s="111" t="str">
        <f>VLOOKUP(C20,RESUMEN!$C$15:$D$30,2,0)</f>
        <v>CONSORCIO ARIZONA</v>
      </c>
      <c r="E20" s="146" t="str">
        <f>VLOOKUP(C20,FORMULA!$C$44:$H$59,3,0)</f>
        <v>DESCARTADO</v>
      </c>
      <c r="F20" s="230" t="str">
        <f>VLOOKUP(C20,FORMULA!$C$44:$H$59,5,0)</f>
        <v>DESCARTADO</v>
      </c>
      <c r="G20" s="208" t="str">
        <f>VLOOKUP(C20,FORMULA!$C$44:$H$59,6,0)</f>
        <v>DESCARTADO</v>
      </c>
      <c r="H20" s="147">
        <f>VLOOKUP($C20,RESUMEN!$C$15:$I$30,4,FALSE)</f>
        <v>0</v>
      </c>
      <c r="I20" s="147">
        <f>VLOOKUP($C20,RESUMEN!$C$15:$I$30,5,FALSE)</f>
        <v>100</v>
      </c>
      <c r="J20" s="147">
        <f>VLOOKUP($C20,RESUMEN!$C$15:$I$30,6,FALSE)</f>
        <v>0</v>
      </c>
      <c r="K20" s="253">
        <f t="shared" si="4"/>
        <v>-1.3999999999999999E-9</v>
      </c>
      <c r="L20" s="148">
        <v>1.3999999999999999E-9</v>
      </c>
      <c r="M20" s="192">
        <f t="shared" si="0"/>
        <v>15</v>
      </c>
      <c r="O20" s="73">
        <f t="shared" si="1"/>
        <v>10</v>
      </c>
      <c r="P20" s="156">
        <f t="shared" si="6"/>
        <v>5</v>
      </c>
      <c r="Q20" s="157" t="str">
        <f t="shared" ca="1" si="5"/>
        <v>UNION TEMPORAL ZRE PUERTO CAICEDO</v>
      </c>
      <c r="R20" s="193">
        <f t="shared" ca="1" si="2"/>
        <v>4</v>
      </c>
      <c r="S20" s="206">
        <f t="shared" ca="1" si="3"/>
        <v>995.29841779615958</v>
      </c>
    </row>
    <row r="21" spans="2:19" ht="18" x14ac:dyDescent="0.2">
      <c r="B21" s="144">
        <v>6</v>
      </c>
      <c r="C21" s="145">
        <f>RESUMEN!C20</f>
        <v>16</v>
      </c>
      <c r="D21" s="111" t="str">
        <f>VLOOKUP(C21,RESUMEN!$C$15:$D$30,2,0)</f>
        <v>CONSORCIO PROYECTO 1</v>
      </c>
      <c r="E21" s="146" t="str">
        <f>VLOOKUP(C21,FORMULA!$C$44:$H$59,3,0)</f>
        <v>DESCARTADO</v>
      </c>
      <c r="F21" s="230" t="str">
        <f>VLOOKUP(C21,FORMULA!$C$44:$H$59,5,0)</f>
        <v>DESCARTADO</v>
      </c>
      <c r="G21" s="208" t="str">
        <f>VLOOKUP(C21,FORMULA!$C$44:$H$59,6,0)</f>
        <v>DESCARTADO</v>
      </c>
      <c r="H21" s="147">
        <f>VLOOKUP($C21,RESUMEN!$C$15:$I$30,4,FALSE)</f>
        <v>0</v>
      </c>
      <c r="I21" s="147">
        <f>VLOOKUP($C21,RESUMEN!$C$15:$I$30,5,FALSE)</f>
        <v>100</v>
      </c>
      <c r="J21" s="147">
        <f>VLOOKUP($C21,RESUMEN!$C$15:$I$30,6,FALSE)</f>
        <v>0</v>
      </c>
      <c r="K21" s="253">
        <f t="shared" si="4"/>
        <v>-1.5E-9</v>
      </c>
      <c r="L21" s="148">
        <v>1.5E-9</v>
      </c>
      <c r="M21" s="192">
        <f t="shared" si="0"/>
        <v>16</v>
      </c>
      <c r="O21" s="73">
        <f t="shared" si="1"/>
        <v>11</v>
      </c>
      <c r="P21" s="156">
        <f t="shared" si="6"/>
        <v>6</v>
      </c>
      <c r="Q21" s="157" t="str">
        <f t="shared" ca="1" si="5"/>
        <v>CONSORCIO NUEVAS VIAS 2018</v>
      </c>
      <c r="R21" s="193">
        <f t="shared" ca="1" si="2"/>
        <v>2</v>
      </c>
      <c r="S21" s="206">
        <f t="shared" ca="1" si="3"/>
        <v>995.01858089551638</v>
      </c>
    </row>
    <row r="22" spans="2:19" ht="18" x14ac:dyDescent="0.2">
      <c r="B22" s="144">
        <v>7</v>
      </c>
      <c r="C22" s="145">
        <f>RESUMEN!C21</f>
        <v>17</v>
      </c>
      <c r="D22" s="111" t="str">
        <f>VLOOKUP(C22,RESUMEN!$C$15:$D$30,2,0)</f>
        <v>CONSORCIO VIAS NACIONALES 007</v>
      </c>
      <c r="E22" s="146">
        <f>VLOOKUP(C22,FORMULA!$C$44:$H$59,3,0)</f>
        <v>9351750380</v>
      </c>
      <c r="F22" s="230">
        <f>VLOOKUP(C22,FORMULA!$C$44:$H$59,5,0)</f>
        <v>-6.3557850496964718E-3</v>
      </c>
      <c r="G22" s="208">
        <f>VLOOKUP(C22,FORMULA!$C$44:$H$59,6,0)</f>
        <v>887.93214253948679</v>
      </c>
      <c r="H22" s="147">
        <f>VLOOKUP($C22,RESUMEN!$C$15:$I$30,4,FALSE)</f>
        <v>0</v>
      </c>
      <c r="I22" s="147">
        <f>VLOOKUP($C22,RESUMEN!$C$15:$I$30,5,FALSE)</f>
        <v>100</v>
      </c>
      <c r="J22" s="147">
        <f>VLOOKUP($C22,RESUMEN!$C$15:$I$30,6,FALSE)</f>
        <v>0</v>
      </c>
      <c r="K22" s="253">
        <f t="shared" si="4"/>
        <v>987.93214253788676</v>
      </c>
      <c r="L22" s="148">
        <v>1.6000000000000001E-9</v>
      </c>
      <c r="M22" s="192">
        <f t="shared" si="0"/>
        <v>17</v>
      </c>
      <c r="O22" s="73">
        <f t="shared" si="1"/>
        <v>8</v>
      </c>
      <c r="P22" s="156">
        <f t="shared" si="6"/>
        <v>7</v>
      </c>
      <c r="Q22" s="157" t="str">
        <f t="shared" ca="1" si="5"/>
        <v>KMC SAS</v>
      </c>
      <c r="R22" s="193">
        <f t="shared" ca="1" si="2"/>
        <v>18</v>
      </c>
      <c r="S22" s="206">
        <f t="shared" ca="1" si="3"/>
        <v>993.30775338215233</v>
      </c>
    </row>
    <row r="23" spans="2:19" ht="18" x14ac:dyDescent="0.2">
      <c r="B23" s="144">
        <v>8</v>
      </c>
      <c r="C23" s="145">
        <f>RESUMEN!C22</f>
        <v>18</v>
      </c>
      <c r="D23" s="111" t="str">
        <f>VLOOKUP(C23,RESUMEN!$C$15:$D$30,2,0)</f>
        <v>KMC SAS</v>
      </c>
      <c r="E23" s="146">
        <f>VLOOKUP(C23,FORMULA!$C$44:$H$59,3,0)</f>
        <v>9220395459</v>
      </c>
      <c r="F23" s="230">
        <f>VLOOKUP(C23,FORMULA!$C$44:$H$59,5,0)</f>
        <v>-2.0312536679427562E-2</v>
      </c>
      <c r="G23" s="208">
        <f>VLOOKUP(C23,FORMULA!$C$44:$H$59,6,0)</f>
        <v>893.30775338385229</v>
      </c>
      <c r="H23" s="147">
        <f>VLOOKUP($C23,RESUMEN!$C$15:$I$30,4,FALSE)</f>
        <v>0</v>
      </c>
      <c r="I23" s="147">
        <f>VLOOKUP($C23,RESUMEN!$C$15:$I$30,5,FALSE)</f>
        <v>100</v>
      </c>
      <c r="J23" s="147">
        <f>VLOOKUP($C23,RESUMEN!$C$15:$I$30,6,FALSE)</f>
        <v>0</v>
      </c>
      <c r="K23" s="253">
        <f t="shared" si="4"/>
        <v>993.30775338215233</v>
      </c>
      <c r="L23" s="148">
        <v>1.6999999999999999E-9</v>
      </c>
      <c r="M23" s="192">
        <f t="shared" si="0"/>
        <v>18</v>
      </c>
      <c r="O23" s="73">
        <f t="shared" si="1"/>
        <v>7</v>
      </c>
      <c r="P23" s="156">
        <f t="shared" si="6"/>
        <v>8</v>
      </c>
      <c r="Q23" s="157" t="str">
        <f t="shared" ca="1" si="5"/>
        <v>CONSORCIO VIAS NACIONALES 007</v>
      </c>
      <c r="R23" s="193">
        <f t="shared" ca="1" si="2"/>
        <v>17</v>
      </c>
      <c r="S23" s="206">
        <f t="shared" ca="1" si="3"/>
        <v>987.93214253788676</v>
      </c>
    </row>
    <row r="24" spans="2:19" ht="18" x14ac:dyDescent="0.2">
      <c r="B24" s="144">
        <v>9</v>
      </c>
      <c r="C24" s="145">
        <f>RESUMEN!C23</f>
        <v>19</v>
      </c>
      <c r="D24" s="111" t="str">
        <f>VLOOKUP(C24,RESUMEN!$C$15:$D$30,2,0)</f>
        <v>UNION TEMPORAL MDF</v>
      </c>
      <c r="E24" s="146" t="str">
        <f>VLOOKUP(C24,FORMULA!$C$44:$H$59,3,0)</f>
        <v>DESCARTADO</v>
      </c>
      <c r="F24" s="230" t="str">
        <f>VLOOKUP(C24,FORMULA!$C$44:$H$59,5,0)</f>
        <v>DESCARTADO</v>
      </c>
      <c r="G24" s="208" t="str">
        <f>VLOOKUP(C24,FORMULA!$C$44:$H$59,6,0)</f>
        <v>DESCARTADO</v>
      </c>
      <c r="H24" s="147">
        <f>VLOOKUP($C24,RESUMEN!$C$15:$I$30,4,FALSE)</f>
        <v>0</v>
      </c>
      <c r="I24" s="147">
        <f>VLOOKUP($C24,RESUMEN!$C$15:$I$30,5,FALSE)</f>
        <v>100</v>
      </c>
      <c r="J24" s="147">
        <f>VLOOKUP($C24,RESUMEN!$C$15:$I$30,6,FALSE)</f>
        <v>0</v>
      </c>
      <c r="K24" s="253">
        <f t="shared" si="4"/>
        <v>-1.8E-9</v>
      </c>
      <c r="L24" s="148">
        <v>1.8E-9</v>
      </c>
      <c r="M24" s="192">
        <f t="shared" si="0"/>
        <v>19</v>
      </c>
      <c r="O24" s="73">
        <f t="shared" si="1"/>
        <v>12</v>
      </c>
      <c r="P24" s="156">
        <f t="shared" si="6"/>
        <v>9</v>
      </c>
      <c r="Q24" s="157" t="str">
        <f t="shared" ca="1" si="5"/>
        <v>UNION TEMPORAL PAVIMENTOS ARIZONA</v>
      </c>
      <c r="R24" s="193">
        <f t="shared" ca="1" si="2"/>
        <v>27</v>
      </c>
      <c r="S24" s="206">
        <f t="shared" ca="1" si="3"/>
        <v>980.25596472480936</v>
      </c>
    </row>
    <row r="25" spans="2:19" ht="18" x14ac:dyDescent="0.2">
      <c r="B25" s="144">
        <v>10</v>
      </c>
      <c r="C25" s="145">
        <f>RESUMEN!C24</f>
        <v>20</v>
      </c>
      <c r="D25" s="111" t="str">
        <f>VLOOKUP(C25,RESUMEN!$C$15:$D$30,2,0)</f>
        <v>CONSORCIO PAVIMENTOS 2018</v>
      </c>
      <c r="E25" s="146" t="str">
        <f>VLOOKUP(C25,FORMULA!$C$44:$H$59,3,0)</f>
        <v>DESCARTADO</v>
      </c>
      <c r="F25" s="230" t="str">
        <f>VLOOKUP(C25,FORMULA!$C$44:$H$59,5,0)</f>
        <v>DESCARTADO</v>
      </c>
      <c r="G25" s="208" t="str">
        <f>VLOOKUP(C25,FORMULA!$C$44:$H$59,6,0)</f>
        <v>DESCARTADO</v>
      </c>
      <c r="H25" s="147">
        <f>VLOOKUP($C25,RESUMEN!$C$15:$I$30,4,FALSE)</f>
        <v>0</v>
      </c>
      <c r="I25" s="147">
        <f>VLOOKUP($C25,RESUMEN!$C$15:$I$30,5,FALSE)</f>
        <v>100</v>
      </c>
      <c r="J25" s="147">
        <f>VLOOKUP($C25,RESUMEN!$C$15:$I$30,6,FALSE)</f>
        <v>0</v>
      </c>
      <c r="K25" s="253">
        <f t="shared" si="4"/>
        <v>-1.9000000000000001E-9</v>
      </c>
      <c r="L25" s="148">
        <v>1.9000000000000001E-9</v>
      </c>
      <c r="M25" s="192">
        <f t="shared" si="0"/>
        <v>20</v>
      </c>
      <c r="O25" s="73">
        <f t="shared" si="1"/>
        <v>13</v>
      </c>
      <c r="P25" s="156">
        <f t="shared" si="6"/>
        <v>10</v>
      </c>
      <c r="Q25" s="157" t="str">
        <f t="shared" ca="1" si="5"/>
        <v>CONSORCIO ARIZONA</v>
      </c>
      <c r="R25" s="193">
        <f t="shared" ca="1" si="2"/>
        <v>15</v>
      </c>
      <c r="S25" s="206">
        <f t="shared" ca="1" si="3"/>
        <v>-1.3999999999999999E-9</v>
      </c>
    </row>
    <row r="26" spans="2:19" ht="18" x14ac:dyDescent="0.2">
      <c r="B26" s="144">
        <v>11</v>
      </c>
      <c r="C26" s="145">
        <f>RESUMEN!C25</f>
        <v>21</v>
      </c>
      <c r="D26" s="111" t="str">
        <f>VLOOKUP(C26,RESUMEN!$C$15:$D$30,2,0)</f>
        <v>CONSORCIO SAN PEDRO PG</v>
      </c>
      <c r="E26" s="146" t="str">
        <f>VLOOKUP(C26,FORMULA!$C$44:$H$59,3,0)</f>
        <v>DESCARTADO</v>
      </c>
      <c r="F26" s="230" t="str">
        <f>VLOOKUP(C26,FORMULA!$C$44:$H$59,5,0)</f>
        <v>DESCARTADO</v>
      </c>
      <c r="G26" s="208" t="str">
        <f>VLOOKUP(C26,FORMULA!$C$44:$H$59,6,0)</f>
        <v>DESCARTADO</v>
      </c>
      <c r="H26" s="147">
        <f>VLOOKUP($C26,RESUMEN!$C$15:$I$30,4,FALSE)</f>
        <v>0</v>
      </c>
      <c r="I26" s="147">
        <f>VLOOKUP($C26,RESUMEN!$C$15:$I$30,5,FALSE)</f>
        <v>100</v>
      </c>
      <c r="J26" s="147">
        <f>VLOOKUP($C26,RESUMEN!$C$15:$I$30,6,FALSE)</f>
        <v>0</v>
      </c>
      <c r="K26" s="253">
        <f t="shared" si="4"/>
        <v>-2.0000000000000001E-9</v>
      </c>
      <c r="L26" s="148">
        <v>2.0000000000000001E-9</v>
      </c>
      <c r="M26" s="192">
        <f t="shared" si="0"/>
        <v>21</v>
      </c>
      <c r="O26" s="73">
        <f t="shared" si="1"/>
        <v>14</v>
      </c>
      <c r="P26" s="156">
        <f t="shared" si="6"/>
        <v>11</v>
      </c>
      <c r="Q26" s="157" t="str">
        <f t="shared" ca="1" si="5"/>
        <v>CONSORCIO PROYECTO 1</v>
      </c>
      <c r="R26" s="193">
        <f t="shared" ca="1" si="2"/>
        <v>16</v>
      </c>
      <c r="S26" s="206">
        <f t="shared" ca="1" si="3"/>
        <v>-1.5E-9</v>
      </c>
    </row>
    <row r="27" spans="2:19" ht="18" x14ac:dyDescent="0.2">
      <c r="B27" s="144">
        <v>12</v>
      </c>
      <c r="C27" s="145">
        <f>RESUMEN!C26</f>
        <v>22</v>
      </c>
      <c r="D27" s="111" t="str">
        <f>VLOOKUP(C27,RESUMEN!$C$15:$D$30,2,0)</f>
        <v>CONSORCIO MANZANARES</v>
      </c>
      <c r="E27" s="146" t="str">
        <f>VLOOKUP(C27,FORMULA!$C$44:$H$59,3,0)</f>
        <v>DESCARTADO</v>
      </c>
      <c r="F27" s="230" t="str">
        <f>VLOOKUP(C27,FORMULA!$C$44:$H$59,5,0)</f>
        <v>DESCARTADO</v>
      </c>
      <c r="G27" s="208" t="str">
        <f>VLOOKUP(C27,FORMULA!$C$44:$H$59,6,0)</f>
        <v>DESCARTADO</v>
      </c>
      <c r="H27" s="147">
        <f>VLOOKUP($C27,RESUMEN!$C$15:$I$30,4,FALSE)</f>
        <v>0</v>
      </c>
      <c r="I27" s="147">
        <f>VLOOKUP($C27,RESUMEN!$C$15:$I$30,5,FALSE)</f>
        <v>100</v>
      </c>
      <c r="J27" s="147">
        <f>VLOOKUP($C27,RESUMEN!$C$15:$I$30,6,FALSE)</f>
        <v>0</v>
      </c>
      <c r="K27" s="253">
        <f t="shared" si="4"/>
        <v>-2.1000000000000002E-9</v>
      </c>
      <c r="L27" s="148">
        <v>2.1000000000000002E-9</v>
      </c>
      <c r="M27" s="192">
        <f t="shared" si="0"/>
        <v>22</v>
      </c>
      <c r="O27" s="73">
        <f t="shared" si="1"/>
        <v>15</v>
      </c>
      <c r="P27" s="156">
        <f t="shared" si="6"/>
        <v>12</v>
      </c>
      <c r="Q27" s="157" t="str">
        <f t="shared" ca="1" si="5"/>
        <v>UNION TEMPORAL MDF</v>
      </c>
      <c r="R27" s="193">
        <f t="shared" ca="1" si="2"/>
        <v>19</v>
      </c>
      <c r="S27" s="206">
        <f t="shared" ca="1" si="3"/>
        <v>-1.8E-9</v>
      </c>
    </row>
    <row r="28" spans="2:19" ht="18" x14ac:dyDescent="0.2">
      <c r="B28" s="144">
        <v>13</v>
      </c>
      <c r="C28" s="145">
        <f>RESUMEN!C27</f>
        <v>24</v>
      </c>
      <c r="D28" s="111" t="str">
        <f>VLOOKUP(C28,RESUMEN!$C$15:$D$30,2,0)</f>
        <v>CONSORCIO OBRAS MI</v>
      </c>
      <c r="E28" s="146">
        <f>VLOOKUP(C28,FORMULA!$C$44:$H$59,3,0)</f>
        <v>9303185844</v>
      </c>
      <c r="F28" s="230">
        <f>VLOOKUP(C28,FORMULA!$C$44:$H$59,5,0)</f>
        <v>-1.1515874689315919E-2</v>
      </c>
      <c r="G28" s="208">
        <f>VLOOKUP(C28,FORMULA!$C$44:$H$59,6,0)</f>
        <v>897.34238459281289</v>
      </c>
      <c r="H28" s="147">
        <f>VLOOKUP($C28,RESUMEN!$C$15:$I$30,4,FALSE)</f>
        <v>0</v>
      </c>
      <c r="I28" s="147">
        <f>VLOOKUP($C28,RESUMEN!$C$15:$I$30,5,FALSE)</f>
        <v>100</v>
      </c>
      <c r="J28" s="147">
        <f>VLOOKUP($C28,RESUMEN!$C$15:$I$30,6,FALSE)</f>
        <v>0</v>
      </c>
      <c r="K28" s="253">
        <f t="shared" si="4"/>
        <v>997.34238459061294</v>
      </c>
      <c r="L28" s="148">
        <v>2.1999999999999998E-9</v>
      </c>
      <c r="M28" s="192">
        <f t="shared" si="0"/>
        <v>24</v>
      </c>
      <c r="O28" s="73">
        <f t="shared" si="1"/>
        <v>4</v>
      </c>
      <c r="P28" s="156">
        <f t="shared" si="6"/>
        <v>13</v>
      </c>
      <c r="Q28" s="157" t="str">
        <f t="shared" ca="1" si="5"/>
        <v>CONSORCIO PAVIMENTOS 2018</v>
      </c>
      <c r="R28" s="193">
        <f t="shared" ca="1" si="2"/>
        <v>20</v>
      </c>
      <c r="S28" s="206">
        <f t="shared" ca="1" si="3"/>
        <v>-1.9000000000000001E-9</v>
      </c>
    </row>
    <row r="29" spans="2:19" ht="18" x14ac:dyDescent="0.2">
      <c r="B29" s="144">
        <v>14</v>
      </c>
      <c r="C29" s="145">
        <f>RESUMEN!C28</f>
        <v>26</v>
      </c>
      <c r="D29" s="111" t="str">
        <f>VLOOKUP(C29,RESUMEN!$C$15:$D$30,2,0)</f>
        <v>CONSORCIO VIAL PUTUMAYO</v>
      </c>
      <c r="E29" s="146" t="str">
        <f>VLOOKUP(C29,FORMULA!$C$44:$H$59,3,0)</f>
        <v>DESCARTADO</v>
      </c>
      <c r="F29" s="230" t="str">
        <f>VLOOKUP(C29,FORMULA!$C$44:$H$59,5,0)</f>
        <v>DESCARTADO</v>
      </c>
      <c r="G29" s="208" t="str">
        <f>VLOOKUP(C29,FORMULA!$C$44:$H$59,6,0)</f>
        <v>DESCARTADO</v>
      </c>
      <c r="H29" s="147">
        <f>VLOOKUP($C29,RESUMEN!$C$15:$I$30,4,FALSE)</f>
        <v>0</v>
      </c>
      <c r="I29" s="147">
        <f>VLOOKUP($C29,RESUMEN!$C$15:$I$30,5,FALSE)</f>
        <v>100</v>
      </c>
      <c r="J29" s="147">
        <f>VLOOKUP($C29,RESUMEN!$C$15:$I$30,6,FALSE)</f>
        <v>0</v>
      </c>
      <c r="K29" s="253">
        <f t="shared" si="4"/>
        <v>-2.2999999999999999E-9</v>
      </c>
      <c r="L29" s="148">
        <v>2.2999999999999999E-9</v>
      </c>
      <c r="M29" s="192">
        <f t="shared" si="0"/>
        <v>26</v>
      </c>
      <c r="O29" s="73">
        <f t="shared" si="1"/>
        <v>16</v>
      </c>
      <c r="P29" s="156">
        <f t="shared" si="6"/>
        <v>14</v>
      </c>
      <c r="Q29" s="157" t="str">
        <f t="shared" ca="1" si="5"/>
        <v>CONSORCIO SAN PEDRO PG</v>
      </c>
      <c r="R29" s="193">
        <f t="shared" ca="1" si="2"/>
        <v>21</v>
      </c>
      <c r="S29" s="206">
        <f t="shared" ca="1" si="3"/>
        <v>-2.0000000000000001E-9</v>
      </c>
    </row>
    <row r="30" spans="2:19" ht="18" x14ac:dyDescent="0.2">
      <c r="B30" s="144">
        <v>15</v>
      </c>
      <c r="C30" s="145">
        <f>RESUMEN!C29</f>
        <v>27</v>
      </c>
      <c r="D30" s="111" t="str">
        <f>VLOOKUP(C30,RESUMEN!$C$15:$D$30,2,0)</f>
        <v>UNION TEMPORAL PAVIMENTOS ARIZONA</v>
      </c>
      <c r="E30" s="146">
        <f>VLOOKUP(C30,FORMULA!$C$44:$H$59,3,0)</f>
        <v>9391365728</v>
      </c>
      <c r="F30" s="230">
        <f>VLOOKUP(C30,FORMULA!$C$44:$H$59,5,0)</f>
        <v>-2.1465664794887429E-3</v>
      </c>
      <c r="G30" s="208">
        <f>VLOOKUP(C30,FORMULA!$C$44:$H$59,6,0)</f>
        <v>880.2559647272094</v>
      </c>
      <c r="H30" s="147">
        <f>VLOOKUP($C30,RESUMEN!$C$15:$I$30,4,FALSE)</f>
        <v>0</v>
      </c>
      <c r="I30" s="147">
        <f>VLOOKUP($C30,RESUMEN!$C$15:$I$30,5,FALSE)</f>
        <v>100</v>
      </c>
      <c r="J30" s="147">
        <f>VLOOKUP($C30,RESUMEN!$C$15:$I$30,6,FALSE)</f>
        <v>0</v>
      </c>
      <c r="K30" s="253">
        <f t="shared" si="4"/>
        <v>980.25596472480936</v>
      </c>
      <c r="L30" s="148">
        <v>2.4E-9</v>
      </c>
      <c r="M30" s="192">
        <f t="shared" si="0"/>
        <v>27</v>
      </c>
      <c r="O30" s="73">
        <f t="shared" si="1"/>
        <v>9</v>
      </c>
      <c r="P30" s="156">
        <f t="shared" si="6"/>
        <v>15</v>
      </c>
      <c r="Q30" s="157" t="str">
        <f t="shared" ca="1" si="5"/>
        <v>CONSORCIO MANZANARES</v>
      </c>
      <c r="R30" s="193">
        <f t="shared" ca="1" si="2"/>
        <v>22</v>
      </c>
      <c r="S30" s="206">
        <f t="shared" ca="1" si="3"/>
        <v>-2.1000000000000002E-9</v>
      </c>
    </row>
    <row r="31" spans="2:19" ht="22.5" x14ac:dyDescent="0.2">
      <c r="B31" s="144">
        <v>16</v>
      </c>
      <c r="C31" s="145">
        <f>RESUMEN!C30</f>
        <v>28</v>
      </c>
      <c r="D31" s="111" t="str">
        <f>VLOOKUP(C31,RESUMEN!$C$15:$D$30,2,0)</f>
        <v>OBRAS CIVILES Y EQUIPOS SAS – OCIEQUIPOS SAS</v>
      </c>
      <c r="E31" s="146">
        <f>VLOOKUP(C31,FORMULA!$C$44:$H$59,3,0)</f>
        <v>9289376937</v>
      </c>
      <c r="F31" s="230">
        <f>VLOOKUP(C31,FORMULA!$C$44:$H$59,5,0)</f>
        <v>-1.2983101678680553E-2</v>
      </c>
      <c r="G31" s="208">
        <f>VLOOKUP(C31,FORMULA!$C$44:$H$59,6,0)</f>
        <v>899.99094711575776</v>
      </c>
      <c r="H31" s="147">
        <f>VLOOKUP($C31,RESUMEN!$C$15:$I$30,4,FALSE)</f>
        <v>0</v>
      </c>
      <c r="I31" s="147">
        <f>VLOOKUP($C31,RESUMEN!$C$15:$I$30,5,FALSE)</f>
        <v>100</v>
      </c>
      <c r="J31" s="147">
        <f>VLOOKUP($C31,RESUMEN!$C$15:$I$30,6,FALSE)</f>
        <v>0</v>
      </c>
      <c r="K31" s="253">
        <f t="shared" si="4"/>
        <v>999.99094711325779</v>
      </c>
      <c r="L31" s="148">
        <v>2.5000000000000001E-9</v>
      </c>
      <c r="M31" s="192">
        <f t="shared" si="0"/>
        <v>28</v>
      </c>
      <c r="O31" s="73">
        <f t="shared" si="1"/>
        <v>1</v>
      </c>
      <c r="P31" s="156">
        <f t="shared" si="6"/>
        <v>16</v>
      </c>
      <c r="Q31" s="157" t="str">
        <f t="shared" ca="1" si="5"/>
        <v>CONSORCIO VIAL PUTUMAYO</v>
      </c>
      <c r="R31" s="193">
        <f t="shared" ca="1" si="2"/>
        <v>26</v>
      </c>
      <c r="S31" s="206">
        <f t="shared" ca="1" si="3"/>
        <v>-2.2999999999999999E-9</v>
      </c>
    </row>
    <row r="32" spans="2:19" ht="4.5" customHeight="1" thickBot="1" x14ac:dyDescent="0.3">
      <c r="B32" s="138"/>
      <c r="C32" s="139"/>
      <c r="D32" s="140"/>
      <c r="E32" s="140"/>
      <c r="F32" s="141"/>
      <c r="G32" s="142"/>
      <c r="H32" s="142"/>
      <c r="I32" s="142"/>
      <c r="J32" s="142"/>
      <c r="K32" s="149"/>
      <c r="L32" s="143"/>
      <c r="M32" s="192">
        <f t="shared" ref="M32" si="7">C32</f>
        <v>0</v>
      </c>
      <c r="P32" s="153"/>
      <c r="Q32" s="242"/>
      <c r="R32" s="154"/>
      <c r="S32" s="155"/>
    </row>
    <row r="33" spans="2:19" ht="7.5" customHeight="1" thickTop="1" x14ac:dyDescent="0.2">
      <c r="B33" s="126"/>
      <c r="C33" s="126"/>
      <c r="D33" s="127"/>
      <c r="E33" s="127"/>
      <c r="F33" s="128"/>
      <c r="G33" s="129"/>
      <c r="H33" s="129"/>
      <c r="I33" s="129"/>
      <c r="J33" s="129"/>
      <c r="K33" s="130"/>
      <c r="L33" s="131"/>
    </row>
    <row r="34" spans="2:19" x14ac:dyDescent="0.2">
      <c r="P34" s="467">
        <v>9289376937</v>
      </c>
      <c r="Q34" s="467"/>
      <c r="R34" s="467"/>
      <c r="S34" s="467"/>
    </row>
    <row r="35" spans="2:19" x14ac:dyDescent="0.2">
      <c r="L35" s="425"/>
      <c r="M35" s="425"/>
      <c r="P35" s="467"/>
      <c r="Q35" s="467"/>
      <c r="R35" s="467"/>
      <c r="S35" s="467"/>
    </row>
  </sheetData>
  <sheetProtection selectLockedCells="1"/>
  <mergeCells count="28">
    <mergeCell ref="B7:K7"/>
    <mergeCell ref="B9:K9"/>
    <mergeCell ref="B10:K10"/>
    <mergeCell ref="P1:S1"/>
    <mergeCell ref="P2:S2"/>
    <mergeCell ref="P3:S3"/>
    <mergeCell ref="P4:S4"/>
    <mergeCell ref="P5:S5"/>
    <mergeCell ref="P7:S7"/>
    <mergeCell ref="P10:S10"/>
    <mergeCell ref="B1:K1"/>
    <mergeCell ref="B2:K2"/>
    <mergeCell ref="B3:K3"/>
    <mergeCell ref="B4:K4"/>
    <mergeCell ref="B5:K5"/>
    <mergeCell ref="D12:D14"/>
    <mergeCell ref="C12:C14"/>
    <mergeCell ref="B12:B14"/>
    <mergeCell ref="L35:M35"/>
    <mergeCell ref="P34:S35"/>
    <mergeCell ref="O11:O14"/>
    <mergeCell ref="P12:S12"/>
    <mergeCell ref="P13:S13"/>
    <mergeCell ref="L12:L14"/>
    <mergeCell ref="G12:J12"/>
    <mergeCell ref="K12:K13"/>
    <mergeCell ref="F12:F13"/>
    <mergeCell ref="E12:E13"/>
  </mergeCells>
  <phoneticPr fontId="4" type="noConversion"/>
  <conditionalFormatting sqref="G16:K31">
    <cfRule type="cellIs" dxfId="8" priority="22" stopIfTrue="1" operator="greaterThan">
      <formula>0</formula>
    </cfRule>
    <cfRule type="cellIs" dxfId="7" priority="23" stopIfTrue="1" operator="equal">
      <formula>0</formula>
    </cfRule>
  </conditionalFormatting>
  <conditionalFormatting sqref="L18 L20 B22:C22 B28:C28 K16:L16 B16:E16 L24 L30 L26 L22 L28 D17:E31 K17:K31 O16:S16 O17:P31 R17:S31 F16:J31 Q17:Q32">
    <cfRule type="expression" dxfId="6" priority="30" stopIfTrue="1">
      <formula>MOD(ROW(),2)</formula>
    </cfRule>
  </conditionalFormatting>
  <conditionalFormatting sqref="E17:E31 F16:G31">
    <cfRule type="cellIs" dxfId="5" priority="21" stopIfTrue="1" operator="equal">
      <formula>"DESCARTADO"</formula>
    </cfRule>
  </conditionalFormatting>
  <conditionalFormatting sqref="B17:C21 L17 L19 L21 B23:C27 B29:C31 L23 L29 L25 L31 L27">
    <cfRule type="expression" dxfId="4" priority="25" stopIfTrue="1">
      <formula>MOD(ROW(),2)</formula>
    </cfRule>
  </conditionalFormatting>
  <conditionalFormatting sqref="E16">
    <cfRule type="cellIs" dxfId="3" priority="5" stopIfTrue="1" operator="equal">
      <formula>"DESCARTADO"</formula>
    </cfRule>
  </conditionalFormatting>
  <printOptions horizontalCentered="1"/>
  <pageMargins left="0.23622047244094491" right="0.23622047244094491" top="0.74803149606299213" bottom="0.74803149606299213" header="0.31496062992125984" footer="0.31496062992125984"/>
  <pageSetup scale="55" fitToWidth="0" fitToHeight="0" orientation="portrait" horizontalDpi="1200" verticalDpi="1200" r:id="rId1"/>
  <headerFooter alignWithMargins="0">
    <oddFooter>&amp;L&amp;9&amp;F&amp;A&amp;C&amp;P de &amp;N&amp;R&amp;9INSTITUTO NACIONAL DE VIAS&amp;D</oddFooter>
  </headerFooter>
  <rowBreaks count="1" manualBreakCount="1">
    <brk id="32" min="1" max="18" man="1"/>
  </rowBreaks>
  <colBreaks count="1" manualBreakCount="1">
    <brk id="13" max="1048575" man="1"/>
  </colBreaks>
  <ignoredErrors>
    <ignoredError sqref="H1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17"/>
  <sheetViews>
    <sheetView workbookViewId="0">
      <selection activeCell="D5" sqref="D5"/>
    </sheetView>
  </sheetViews>
  <sheetFormatPr baseColWidth="10" defaultColWidth="11.42578125" defaultRowHeight="12.75" x14ac:dyDescent="0.2"/>
  <cols>
    <col min="1" max="1" width="11.42578125" style="227"/>
    <col min="2" max="2" width="85.7109375" style="227" bestFit="1" customWidth="1"/>
    <col min="3" max="3" width="14.140625" style="227" bestFit="1" customWidth="1"/>
    <col min="4" max="4" width="50" style="227" bestFit="1" customWidth="1"/>
    <col min="5" max="16384" width="11.42578125" style="227"/>
  </cols>
  <sheetData>
    <row r="1" spans="1:4" ht="15.75" thickTop="1" x14ac:dyDescent="0.2">
      <c r="A1" s="298" t="s">
        <v>21</v>
      </c>
      <c r="B1" s="299" t="s">
        <v>20</v>
      </c>
      <c r="C1" s="299" t="s">
        <v>28</v>
      </c>
      <c r="D1" s="300" t="s">
        <v>87</v>
      </c>
    </row>
    <row r="2" spans="1:4" x14ac:dyDescent="0.2">
      <c r="A2" s="62">
        <v>1</v>
      </c>
      <c r="B2" s="70"/>
      <c r="C2" s="74" t="s">
        <v>9</v>
      </c>
      <c r="D2" s="74" t="s">
        <v>88</v>
      </c>
    </row>
    <row r="3" spans="1:4" x14ac:dyDescent="0.2">
      <c r="A3" s="63">
        <v>2</v>
      </c>
      <c r="B3" s="64"/>
      <c r="C3" s="75" t="s">
        <v>8</v>
      </c>
      <c r="D3" s="75" t="s">
        <v>89</v>
      </c>
    </row>
    <row r="4" spans="1:4" ht="13.5" thickBot="1" x14ac:dyDescent="0.25">
      <c r="A4" s="62">
        <v>3</v>
      </c>
      <c r="B4" s="64"/>
      <c r="C4" s="76" t="s">
        <v>13</v>
      </c>
      <c r="D4" s="75" t="s">
        <v>199</v>
      </c>
    </row>
    <row r="5" spans="1:4" ht="13.5" thickTop="1" x14ac:dyDescent="0.2">
      <c r="A5" s="63">
        <v>4</v>
      </c>
      <c r="B5" s="64"/>
      <c r="D5" s="205" t="s">
        <v>90</v>
      </c>
    </row>
    <row r="6" spans="1:4" ht="13.5" thickBot="1" x14ac:dyDescent="0.25">
      <c r="A6" s="62">
        <v>5</v>
      </c>
      <c r="B6" s="64"/>
      <c r="D6" s="76"/>
    </row>
    <row r="7" spans="1:4" ht="13.5" thickTop="1" x14ac:dyDescent="0.2">
      <c r="A7" s="63">
        <v>6</v>
      </c>
      <c r="B7" s="64"/>
    </row>
    <row r="8" spans="1:4" x14ac:dyDescent="0.2">
      <c r="A8" s="62">
        <v>7</v>
      </c>
      <c r="B8" s="64"/>
    </row>
    <row r="9" spans="1:4" x14ac:dyDescent="0.2">
      <c r="A9" s="63">
        <v>8</v>
      </c>
      <c r="B9" s="64"/>
    </row>
    <row r="10" spans="1:4" x14ac:dyDescent="0.2">
      <c r="A10" s="67">
        <v>9</v>
      </c>
      <c r="B10" s="68"/>
    </row>
    <row r="11" spans="1:4" x14ac:dyDescent="0.2">
      <c r="A11" s="67">
        <v>10</v>
      </c>
      <c r="B11" s="69"/>
    </row>
    <row r="12" spans="1:4" x14ac:dyDescent="0.2">
      <c r="A12" s="67">
        <v>11</v>
      </c>
      <c r="B12" s="69"/>
    </row>
    <row r="13" spans="1:4" x14ac:dyDescent="0.2">
      <c r="A13" s="67">
        <v>12</v>
      </c>
      <c r="B13" s="68"/>
    </row>
    <row r="14" spans="1:4" x14ac:dyDescent="0.2">
      <c r="A14" s="67">
        <v>13</v>
      </c>
      <c r="B14" s="68"/>
    </row>
    <row r="15" spans="1:4" x14ac:dyDescent="0.2">
      <c r="A15" s="67">
        <v>14</v>
      </c>
      <c r="B15" s="68"/>
    </row>
    <row r="16" spans="1:4" ht="13.5" thickBot="1" x14ac:dyDescent="0.25">
      <c r="A16" s="65">
        <v>15</v>
      </c>
      <c r="B16" s="66"/>
    </row>
    <row r="17" ht="13.5" thickTop="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RESUMEN</vt:lpstr>
      <vt:lpstr>VR-PROP</vt:lpstr>
      <vt:lpstr>FORMULA</vt:lpstr>
      <vt:lpstr>ELEGIBILIDAD</vt:lpstr>
      <vt:lpstr>ELEGIBILIDAD!Área_de_impresión</vt:lpstr>
      <vt:lpstr>RESUMEN!Área_de_impresión</vt:lpstr>
      <vt:lpstr>'VR-PROP'!Área_de_impresión</vt:lpstr>
      <vt:lpstr>DEPENDENCIAS</vt:lpstr>
      <vt:lpstr>METEVA</vt:lpstr>
      <vt:lpstr>RESULTADO</vt:lpstr>
      <vt:lpstr>ELEGIBILIDAD!Títulos_a_imprimir</vt:lpstr>
      <vt:lpstr>FORMULA!Títulos_a_imprimir</vt:lpstr>
      <vt:lpstr>'VR-PROP'!Títulos_a_imprimir</vt:lpstr>
    </vt:vector>
  </TitlesOfParts>
  <Company>INSTITUTO NACIONAL DE VIAS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 2018</dc:creator>
  <cp:lastModifiedBy>Ruby Mercedes Perez Perez</cp:lastModifiedBy>
  <cp:lastPrinted>2012-04-17T13:34:03Z</cp:lastPrinted>
  <dcterms:created xsi:type="dcterms:W3CDTF">2003-08-04T15:33:07Z</dcterms:created>
  <dcterms:modified xsi:type="dcterms:W3CDTF">2018-12-20T05:28:16Z</dcterms:modified>
</cp:coreProperties>
</file>