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e_wgarcia\Downloads\"/>
    </mc:Choice>
  </mc:AlternateContent>
  <bookViews>
    <workbookView xWindow="0" yWindow="0" windowWidth="20490" windowHeight="7650" activeTab="2"/>
  </bookViews>
  <sheets>
    <sheet name="RESUMEN" sheetId="13" r:id="rId1"/>
    <sheet name="VR-PROP" sheetId="15" r:id="rId2"/>
    <sheet name="FORMULA" sheetId="107" r:id="rId3"/>
    <sheet name="ELEGIBILIDAD" sheetId="10" r:id="rId4"/>
    <sheet name="Listas" sheetId="106" state="veryHidden" r:id="rId5"/>
  </sheets>
  <definedNames>
    <definedName name="_xlnm._FilterDatabase" localSheetId="1" hidden="1">'VR-PROP'!$I$55:$K$59</definedName>
    <definedName name="_xlnm.Print_Area" localSheetId="3">ELEGIBILIDAD!$A$1:$T$36</definedName>
    <definedName name="_xlnm.Print_Area" localSheetId="0">RESUMEN!$B$1:$I$40</definedName>
    <definedName name="_xlnm.Print_Area" localSheetId="1">'VR-PROP'!$B$1:$K$59</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62913"/>
</workbook>
</file>

<file path=xl/calcChain.xml><?xml version="1.0" encoding="utf-8"?>
<calcChain xmlns="http://schemas.openxmlformats.org/spreadsheetml/2006/main">
  <c r="X47" i="15" l="1"/>
  <c r="J16" i="15"/>
  <c r="J17" i="15"/>
  <c r="BS52" i="15" l="1"/>
  <c r="BP52" i="15"/>
  <c r="BM52" i="15"/>
  <c r="BJ52" i="15"/>
  <c r="BG52" i="15"/>
  <c r="BD52" i="15"/>
  <c r="BA52" i="15"/>
  <c r="AX52" i="15"/>
  <c r="AU52" i="15"/>
  <c r="AR52" i="15"/>
  <c r="AO52" i="15"/>
  <c r="AL52" i="15"/>
  <c r="AI52" i="15"/>
  <c r="AF52" i="15"/>
  <c r="AC52" i="15"/>
  <c r="Z52" i="15"/>
  <c r="W52" i="15"/>
  <c r="T52" i="15"/>
  <c r="Q52" i="15"/>
  <c r="N52" i="15"/>
  <c r="BS51" i="15"/>
  <c r="BP51" i="15"/>
  <c r="BM51" i="15"/>
  <c r="BJ51" i="15"/>
  <c r="BG51" i="15"/>
  <c r="BD51" i="15"/>
  <c r="BA51" i="15"/>
  <c r="AX51" i="15"/>
  <c r="AU51" i="15"/>
  <c r="AR51" i="15"/>
  <c r="AO51" i="15"/>
  <c r="AL51" i="15"/>
  <c r="AI51" i="15"/>
  <c r="AF51" i="15"/>
  <c r="AC51" i="15"/>
  <c r="Z51" i="15"/>
  <c r="W51" i="15"/>
  <c r="T51" i="15"/>
  <c r="Q51" i="15"/>
  <c r="N51" i="15"/>
  <c r="BQ47" i="15"/>
  <c r="BN47" i="15"/>
  <c r="BK47" i="15"/>
  <c r="BH47" i="15"/>
  <c r="BE47" i="15"/>
  <c r="BB47" i="15"/>
  <c r="AY47" i="15"/>
  <c r="AV47" i="15"/>
  <c r="AS47" i="15"/>
  <c r="AP47" i="15"/>
  <c r="AM47" i="15"/>
  <c r="AJ47" i="15"/>
  <c r="AG47" i="15"/>
  <c r="AD47" i="15"/>
  <c r="AA47" i="15"/>
  <c r="U47" i="15"/>
  <c r="R47" i="15"/>
  <c r="O47" i="15"/>
  <c r="L47" i="15"/>
  <c r="BS42" i="15"/>
  <c r="BR42" i="15"/>
  <c r="BP42" i="15"/>
  <c r="BO42" i="15"/>
  <c r="BM42" i="15"/>
  <c r="BL42" i="15"/>
  <c r="BJ42" i="15"/>
  <c r="BI42" i="15"/>
  <c r="BG42" i="15"/>
  <c r="BF42" i="15"/>
  <c r="BD42" i="15"/>
  <c r="BC42" i="15"/>
  <c r="BA42" i="15"/>
  <c r="AZ42" i="15"/>
  <c r="AX42" i="15"/>
  <c r="AW42" i="15"/>
  <c r="AU42" i="15"/>
  <c r="AT42" i="15"/>
  <c r="AR42" i="15"/>
  <c r="AQ42" i="15"/>
  <c r="AO42" i="15"/>
  <c r="AN42" i="15"/>
  <c r="AL42" i="15"/>
  <c r="AK42" i="15"/>
  <c r="AI42" i="15"/>
  <c r="AH42" i="15"/>
  <c r="AF42" i="15"/>
  <c r="AE42" i="15"/>
  <c r="AC42" i="15"/>
  <c r="AB42" i="15"/>
  <c r="Z42" i="15"/>
  <c r="Y42" i="15"/>
  <c r="W42" i="15"/>
  <c r="V42" i="15"/>
  <c r="T42" i="15"/>
  <c r="S42" i="15"/>
  <c r="Q42" i="15"/>
  <c r="P42" i="15"/>
  <c r="N42" i="15"/>
  <c r="M42" i="15"/>
  <c r="BS41" i="15"/>
  <c r="BR41" i="15"/>
  <c r="BP41" i="15"/>
  <c r="BO41" i="15"/>
  <c r="BM41" i="15"/>
  <c r="BL41" i="15"/>
  <c r="BJ41" i="15"/>
  <c r="BI41" i="15"/>
  <c r="BG41" i="15"/>
  <c r="BF41" i="15"/>
  <c r="BD41" i="15"/>
  <c r="BC41" i="15"/>
  <c r="BA41" i="15"/>
  <c r="AZ41" i="15"/>
  <c r="AX41" i="15"/>
  <c r="AW41" i="15"/>
  <c r="AU41" i="15"/>
  <c r="AT41" i="15"/>
  <c r="AR41" i="15"/>
  <c r="AQ41" i="15"/>
  <c r="AO41" i="15"/>
  <c r="AN41" i="15"/>
  <c r="AL41" i="15"/>
  <c r="AK41" i="15"/>
  <c r="AI41" i="15"/>
  <c r="AH41" i="15"/>
  <c r="AF41" i="15"/>
  <c r="AE41" i="15"/>
  <c r="AC41" i="15"/>
  <c r="AB41" i="15"/>
  <c r="Z41" i="15"/>
  <c r="Y41" i="15"/>
  <c r="W41" i="15"/>
  <c r="V41" i="15"/>
  <c r="T41" i="15"/>
  <c r="S41" i="15"/>
  <c r="Q41" i="15"/>
  <c r="P41" i="15"/>
  <c r="N41" i="15"/>
  <c r="M41" i="15"/>
  <c r="BS40" i="15"/>
  <c r="BR40" i="15"/>
  <c r="BR39" i="15" s="1"/>
  <c r="BP40" i="15"/>
  <c r="BO40" i="15"/>
  <c r="BO39" i="15" s="1"/>
  <c r="BM40" i="15"/>
  <c r="BL40" i="15"/>
  <c r="BL39" i="15" s="1"/>
  <c r="BJ40" i="15"/>
  <c r="BI40" i="15"/>
  <c r="BG40" i="15"/>
  <c r="BF40" i="15"/>
  <c r="BF39" i="15" s="1"/>
  <c r="BD40" i="15"/>
  <c r="BC40" i="15"/>
  <c r="BA40" i="15"/>
  <c r="AZ40" i="15"/>
  <c r="AZ39" i="15" s="1"/>
  <c r="AX40" i="15"/>
  <c r="AW40" i="15"/>
  <c r="AU40" i="15"/>
  <c r="AT40" i="15"/>
  <c r="AT39" i="15" s="1"/>
  <c r="AR40" i="15"/>
  <c r="AQ40" i="15"/>
  <c r="AQ39" i="15" s="1"/>
  <c r="AO40" i="15"/>
  <c r="AN40" i="15"/>
  <c r="AN39" i="15" s="1"/>
  <c r="AL40" i="15"/>
  <c r="AK40" i="15"/>
  <c r="AI40" i="15"/>
  <c r="AH40" i="15"/>
  <c r="AH39" i="15" s="1"/>
  <c r="AF40" i="15"/>
  <c r="AE40" i="15"/>
  <c r="AE39" i="15" s="1"/>
  <c r="AC40" i="15"/>
  <c r="AB40" i="15"/>
  <c r="Z40" i="15"/>
  <c r="Y40" i="15"/>
  <c r="W40" i="15"/>
  <c r="V40" i="15"/>
  <c r="V39" i="15" s="1"/>
  <c r="T40" i="15"/>
  <c r="S40" i="15"/>
  <c r="Q40" i="15"/>
  <c r="P40" i="15"/>
  <c r="P39" i="15" s="1"/>
  <c r="N40" i="15"/>
  <c r="M40" i="15"/>
  <c r="BI39" i="15"/>
  <c r="AW39" i="15"/>
  <c r="AK39" i="15"/>
  <c r="AB39" i="15"/>
  <c r="BS38" i="15"/>
  <c r="BR38" i="15"/>
  <c r="BP38" i="15"/>
  <c r="BO38" i="15"/>
  <c r="BM38" i="15"/>
  <c r="BL38" i="15"/>
  <c r="BJ38" i="15"/>
  <c r="BI38" i="15"/>
  <c r="BG38" i="15"/>
  <c r="BF38" i="15"/>
  <c r="BD38" i="15"/>
  <c r="BC38" i="15"/>
  <c r="BA38" i="15"/>
  <c r="AZ38" i="15"/>
  <c r="AX38" i="15"/>
  <c r="AW38" i="15"/>
  <c r="AU38" i="15"/>
  <c r="AT38" i="15"/>
  <c r="AR38" i="15"/>
  <c r="AQ38" i="15"/>
  <c r="AO38" i="15"/>
  <c r="AN38" i="15"/>
  <c r="AL38" i="15"/>
  <c r="AK38" i="15"/>
  <c r="AI38" i="15"/>
  <c r="AH38" i="15"/>
  <c r="AF38" i="15"/>
  <c r="AE38" i="15"/>
  <c r="AC38" i="15"/>
  <c r="AB38" i="15"/>
  <c r="Z38" i="15"/>
  <c r="Y38" i="15"/>
  <c r="W38" i="15"/>
  <c r="V38" i="15"/>
  <c r="T38" i="15"/>
  <c r="S38" i="15"/>
  <c r="Q38" i="15"/>
  <c r="P38" i="15"/>
  <c r="N38" i="15"/>
  <c r="M38" i="15"/>
  <c r="BS37" i="15"/>
  <c r="BR37" i="15"/>
  <c r="BP37" i="15"/>
  <c r="BO37" i="15"/>
  <c r="BM37" i="15"/>
  <c r="BL37" i="15"/>
  <c r="BJ37" i="15"/>
  <c r="BI37" i="15"/>
  <c r="BG37" i="15"/>
  <c r="BF37" i="15"/>
  <c r="BD37" i="15"/>
  <c r="BC37" i="15"/>
  <c r="BA37" i="15"/>
  <c r="AZ37" i="15"/>
  <c r="AX37" i="15"/>
  <c r="AW37" i="15"/>
  <c r="AU37" i="15"/>
  <c r="AT37" i="15"/>
  <c r="AR37" i="15"/>
  <c r="AQ37" i="15"/>
  <c r="AO37" i="15"/>
  <c r="AN37" i="15"/>
  <c r="AL37" i="15"/>
  <c r="AK37" i="15"/>
  <c r="AI37" i="15"/>
  <c r="AH37" i="15"/>
  <c r="AF37" i="15"/>
  <c r="AE37" i="15"/>
  <c r="AC37" i="15"/>
  <c r="AB37" i="15"/>
  <c r="Z37" i="15"/>
  <c r="Y37" i="15"/>
  <c r="W37" i="15"/>
  <c r="V37" i="15"/>
  <c r="T37" i="15"/>
  <c r="S37" i="15"/>
  <c r="Q37" i="15"/>
  <c r="P37" i="15"/>
  <c r="N37" i="15"/>
  <c r="M37" i="15"/>
  <c r="BS36" i="15"/>
  <c r="BR36" i="15"/>
  <c r="BP36" i="15"/>
  <c r="BO36" i="15"/>
  <c r="BO35" i="15" s="1"/>
  <c r="BM36" i="15"/>
  <c r="BL36" i="15"/>
  <c r="BJ36" i="15"/>
  <c r="BI36" i="15"/>
  <c r="BI35" i="15" s="1"/>
  <c r="BG36" i="15"/>
  <c r="BF36" i="15"/>
  <c r="BD36" i="15"/>
  <c r="BC36" i="15"/>
  <c r="BC35" i="15" s="1"/>
  <c r="BA36" i="15"/>
  <c r="AZ36" i="15"/>
  <c r="AX36" i="15"/>
  <c r="AW36" i="15"/>
  <c r="AW35" i="15" s="1"/>
  <c r="AU36" i="15"/>
  <c r="AT36" i="15"/>
  <c r="AT35" i="15" s="1"/>
  <c r="AR36" i="15"/>
  <c r="AQ36" i="15"/>
  <c r="AQ35" i="15" s="1"/>
  <c r="AO36" i="15"/>
  <c r="AN36" i="15"/>
  <c r="AL36" i="15"/>
  <c r="AK36" i="15"/>
  <c r="AK35" i="15" s="1"/>
  <c r="AI36" i="15"/>
  <c r="AH36" i="15"/>
  <c r="AF36" i="15"/>
  <c r="AE36" i="15"/>
  <c r="AE35" i="15" s="1"/>
  <c r="AC36" i="15"/>
  <c r="AB36" i="15"/>
  <c r="Z36" i="15"/>
  <c r="Y36" i="15"/>
  <c r="Y35" i="15" s="1"/>
  <c r="W36" i="15"/>
  <c r="V36" i="15"/>
  <c r="T36" i="15"/>
  <c r="S36" i="15"/>
  <c r="S35" i="15" s="1"/>
  <c r="Q36" i="15"/>
  <c r="P36" i="15"/>
  <c r="N36" i="15"/>
  <c r="M36" i="15"/>
  <c r="M35" i="15" s="1"/>
  <c r="BS34" i="15"/>
  <c r="BR34" i="15"/>
  <c r="BP34" i="15"/>
  <c r="BO34" i="15"/>
  <c r="BM34" i="15"/>
  <c r="BL34" i="15"/>
  <c r="BJ34" i="15"/>
  <c r="BI34" i="15"/>
  <c r="BG34" i="15"/>
  <c r="BF34" i="15"/>
  <c r="BD34" i="15"/>
  <c r="BC34" i="15"/>
  <c r="BA34" i="15"/>
  <c r="AZ34" i="15"/>
  <c r="AX34" i="15"/>
  <c r="AW34" i="15"/>
  <c r="AU34" i="15"/>
  <c r="AT34" i="15"/>
  <c r="AR34" i="15"/>
  <c r="AQ34" i="15"/>
  <c r="AO34" i="15"/>
  <c r="AN34" i="15"/>
  <c r="AL34" i="15"/>
  <c r="AK34" i="15"/>
  <c r="AI34" i="15"/>
  <c r="AH34" i="15"/>
  <c r="AF34" i="15"/>
  <c r="AE34" i="15"/>
  <c r="AC34" i="15"/>
  <c r="AB34" i="15"/>
  <c r="Z34" i="15"/>
  <c r="Y34" i="15"/>
  <c r="W34" i="15"/>
  <c r="V34" i="15"/>
  <c r="T34" i="15"/>
  <c r="S34" i="15"/>
  <c r="Q34" i="15"/>
  <c r="P34" i="15"/>
  <c r="N34" i="15"/>
  <c r="M34" i="15"/>
  <c r="BS33" i="15"/>
  <c r="BR33" i="15"/>
  <c r="BP33" i="15"/>
  <c r="BO33" i="15"/>
  <c r="BM33" i="15"/>
  <c r="BL33" i="15"/>
  <c r="BJ33" i="15"/>
  <c r="BI33" i="15"/>
  <c r="BG33" i="15"/>
  <c r="BF33" i="15"/>
  <c r="BD33" i="15"/>
  <c r="BC33" i="15"/>
  <c r="BA33" i="15"/>
  <c r="AZ33" i="15"/>
  <c r="AX33" i="15"/>
  <c r="AW33" i="15"/>
  <c r="AU33" i="15"/>
  <c r="AT33" i="15"/>
  <c r="AR33" i="15"/>
  <c r="AQ33" i="15"/>
  <c r="AO33" i="15"/>
  <c r="AN33" i="15"/>
  <c r="AL33" i="15"/>
  <c r="AK33" i="15"/>
  <c r="AI33" i="15"/>
  <c r="AH33" i="15"/>
  <c r="AF33" i="15"/>
  <c r="AE33" i="15"/>
  <c r="AC33" i="15"/>
  <c r="AB33" i="15"/>
  <c r="Z33" i="15"/>
  <c r="Y33" i="15"/>
  <c r="W33" i="15"/>
  <c r="V33" i="15"/>
  <c r="T33" i="15"/>
  <c r="S33" i="15"/>
  <c r="Q33" i="15"/>
  <c r="P33" i="15"/>
  <c r="N33" i="15"/>
  <c r="M33" i="15"/>
  <c r="BS32" i="15"/>
  <c r="BR32" i="15"/>
  <c r="BP32" i="15"/>
  <c r="BO32" i="15"/>
  <c r="BM32" i="15"/>
  <c r="BL32" i="15"/>
  <c r="BJ32" i="15"/>
  <c r="BI32" i="15"/>
  <c r="BG32" i="15"/>
  <c r="BF32" i="15"/>
  <c r="BD32" i="15"/>
  <c r="BC32" i="15"/>
  <c r="BA32" i="15"/>
  <c r="AZ32" i="15"/>
  <c r="AX32" i="15"/>
  <c r="AW32" i="15"/>
  <c r="AU32" i="15"/>
  <c r="AT32" i="15"/>
  <c r="AR32" i="15"/>
  <c r="AQ32" i="15"/>
  <c r="AO32" i="15"/>
  <c r="AN32" i="15"/>
  <c r="AL32" i="15"/>
  <c r="AK32" i="15"/>
  <c r="AI32" i="15"/>
  <c r="AH32" i="15"/>
  <c r="AF32" i="15"/>
  <c r="AE32" i="15"/>
  <c r="AC32" i="15"/>
  <c r="AB32" i="15"/>
  <c r="Z32" i="15"/>
  <c r="Y32" i="15"/>
  <c r="W32" i="15"/>
  <c r="V32" i="15"/>
  <c r="T32" i="15"/>
  <c r="S32" i="15"/>
  <c r="Q32" i="15"/>
  <c r="P32" i="15"/>
  <c r="N32" i="15"/>
  <c r="M32" i="15"/>
  <c r="BS31" i="15"/>
  <c r="BR31" i="15"/>
  <c r="BP31" i="15"/>
  <c r="BO31" i="15"/>
  <c r="BO30" i="15" s="1"/>
  <c r="BM31" i="15"/>
  <c r="BL31" i="15"/>
  <c r="BJ31" i="15"/>
  <c r="BI31" i="15"/>
  <c r="BI30" i="15" s="1"/>
  <c r="BG31" i="15"/>
  <c r="BF31" i="15"/>
  <c r="BF30" i="15" s="1"/>
  <c r="BD31" i="15"/>
  <c r="BC31" i="15"/>
  <c r="BA31" i="15"/>
  <c r="AZ31" i="15"/>
  <c r="AZ30" i="15" s="1"/>
  <c r="AX31" i="15"/>
  <c r="AW31" i="15"/>
  <c r="AW30" i="15" s="1"/>
  <c r="AU31" i="15"/>
  <c r="AT31" i="15"/>
  <c r="AT30" i="15" s="1"/>
  <c r="AR31" i="15"/>
  <c r="AQ31" i="15"/>
  <c r="AQ30" i="15" s="1"/>
  <c r="AO31" i="15"/>
  <c r="AN31" i="15"/>
  <c r="AN30" i="15" s="1"/>
  <c r="AL31" i="15"/>
  <c r="AK31" i="15"/>
  <c r="AI31" i="15"/>
  <c r="AH31" i="15"/>
  <c r="AH30" i="15" s="1"/>
  <c r="AF31" i="15"/>
  <c r="AE31" i="15"/>
  <c r="AE30" i="15" s="1"/>
  <c r="AC31" i="15"/>
  <c r="AB31" i="15"/>
  <c r="AB30" i="15" s="1"/>
  <c r="Z31" i="15"/>
  <c r="Y31" i="15"/>
  <c r="W31" i="15"/>
  <c r="V31" i="15"/>
  <c r="T31" i="15"/>
  <c r="S31" i="15"/>
  <c r="S30" i="15" s="1"/>
  <c r="Q31" i="15"/>
  <c r="P31" i="15"/>
  <c r="N31" i="15"/>
  <c r="M31" i="15"/>
  <c r="BC30" i="15"/>
  <c r="AK30" i="15"/>
  <c r="Y30" i="15"/>
  <c r="BS29" i="15"/>
  <c r="BR29" i="15"/>
  <c r="BP29" i="15"/>
  <c r="BO29" i="15"/>
  <c r="BM29" i="15"/>
  <c r="BL29" i="15"/>
  <c r="BJ29" i="15"/>
  <c r="BI29" i="15"/>
  <c r="BG29" i="15"/>
  <c r="BF29" i="15"/>
  <c r="BD29" i="15"/>
  <c r="BC29" i="15"/>
  <c r="BA29" i="15"/>
  <c r="AZ29" i="15"/>
  <c r="AX29" i="15"/>
  <c r="AW29" i="15"/>
  <c r="AU29" i="15"/>
  <c r="AT29" i="15"/>
  <c r="AR29" i="15"/>
  <c r="AQ29" i="15"/>
  <c r="AO29" i="15"/>
  <c r="AN29" i="15"/>
  <c r="AL29" i="15"/>
  <c r="AK29" i="15"/>
  <c r="AI29" i="15"/>
  <c r="AH29" i="15"/>
  <c r="AF29" i="15"/>
  <c r="AE29" i="15"/>
  <c r="AC29" i="15"/>
  <c r="AB29" i="15"/>
  <c r="Z29" i="15"/>
  <c r="Y29" i="15"/>
  <c r="W29" i="15"/>
  <c r="V29" i="15"/>
  <c r="T29" i="15"/>
  <c r="S29" i="15"/>
  <c r="Q29" i="15"/>
  <c r="P29" i="15"/>
  <c r="N29" i="15"/>
  <c r="M29" i="15"/>
  <c r="BS28" i="15"/>
  <c r="BR28" i="15"/>
  <c r="BP28" i="15"/>
  <c r="BO28" i="15"/>
  <c r="BM28" i="15"/>
  <c r="BL28" i="15"/>
  <c r="BJ28" i="15"/>
  <c r="BI28" i="15"/>
  <c r="BG28" i="15"/>
  <c r="BF28" i="15"/>
  <c r="BD28" i="15"/>
  <c r="BC28" i="15"/>
  <c r="BA28" i="15"/>
  <c r="AZ28" i="15"/>
  <c r="AX28" i="15"/>
  <c r="AW28" i="15"/>
  <c r="AU28" i="15"/>
  <c r="AT28" i="15"/>
  <c r="AR28" i="15"/>
  <c r="AQ28" i="15"/>
  <c r="AO28" i="15"/>
  <c r="AN28" i="15"/>
  <c r="AL28" i="15"/>
  <c r="AK28" i="15"/>
  <c r="AI28" i="15"/>
  <c r="AH28" i="15"/>
  <c r="AF28" i="15"/>
  <c r="AE28" i="15"/>
  <c r="AC28" i="15"/>
  <c r="AB28" i="15"/>
  <c r="Z28" i="15"/>
  <c r="Y28" i="15"/>
  <c r="W28" i="15"/>
  <c r="V28" i="15"/>
  <c r="T28" i="15"/>
  <c r="S28" i="15"/>
  <c r="Q28" i="15"/>
  <c r="P28" i="15"/>
  <c r="N28" i="15"/>
  <c r="M28" i="15"/>
  <c r="BS27" i="15"/>
  <c r="BR27" i="15"/>
  <c r="BP27" i="15"/>
  <c r="BO27" i="15"/>
  <c r="BM27" i="15"/>
  <c r="BL27" i="15"/>
  <c r="BJ27" i="15"/>
  <c r="BI27" i="15"/>
  <c r="BG27" i="15"/>
  <c r="BF27" i="15"/>
  <c r="BD27" i="15"/>
  <c r="BC27" i="15"/>
  <c r="BA27" i="15"/>
  <c r="AZ27" i="15"/>
  <c r="AX27" i="15"/>
  <c r="AW27" i="15"/>
  <c r="AU27" i="15"/>
  <c r="AT27" i="15"/>
  <c r="AR27" i="15"/>
  <c r="AQ27" i="15"/>
  <c r="AO27" i="15"/>
  <c r="AN27" i="15"/>
  <c r="AL27" i="15"/>
  <c r="AK27" i="15"/>
  <c r="AI27" i="15"/>
  <c r="AH27" i="15"/>
  <c r="AF27" i="15"/>
  <c r="AE27" i="15"/>
  <c r="AC27" i="15"/>
  <c r="AB27" i="15"/>
  <c r="Z27" i="15"/>
  <c r="Y27" i="15"/>
  <c r="W27" i="15"/>
  <c r="V27" i="15"/>
  <c r="T27" i="15"/>
  <c r="S27" i="15"/>
  <c r="Q27" i="15"/>
  <c r="P27" i="15"/>
  <c r="N27" i="15"/>
  <c r="M27" i="15"/>
  <c r="BS26" i="15"/>
  <c r="BR26" i="15"/>
  <c r="BP26" i="15"/>
  <c r="BO26" i="15"/>
  <c r="BM26" i="15"/>
  <c r="BL26" i="15"/>
  <c r="BJ26" i="15"/>
  <c r="BI26" i="15"/>
  <c r="BG26" i="15"/>
  <c r="BF26" i="15"/>
  <c r="BD26" i="15"/>
  <c r="BC26" i="15"/>
  <c r="BA26" i="15"/>
  <c r="AZ26" i="15"/>
  <c r="AX26" i="15"/>
  <c r="AW26" i="15"/>
  <c r="AU26" i="15"/>
  <c r="AT26" i="15"/>
  <c r="AR26" i="15"/>
  <c r="AQ26" i="15"/>
  <c r="AO26" i="15"/>
  <c r="AN26" i="15"/>
  <c r="AL26" i="15"/>
  <c r="AK26" i="15"/>
  <c r="AI26" i="15"/>
  <c r="AH26" i="15"/>
  <c r="AF26" i="15"/>
  <c r="AE26" i="15"/>
  <c r="AC26" i="15"/>
  <c r="AB26" i="15"/>
  <c r="Z26" i="15"/>
  <c r="Y26" i="15"/>
  <c r="W26" i="15"/>
  <c r="V26" i="15"/>
  <c r="T26" i="15"/>
  <c r="S26" i="15"/>
  <c r="Q26" i="15"/>
  <c r="P26" i="15"/>
  <c r="N26" i="15"/>
  <c r="M26" i="15"/>
  <c r="BS25" i="15"/>
  <c r="BR25" i="15"/>
  <c r="BP25" i="15"/>
  <c r="BO25" i="15"/>
  <c r="BO24" i="15" s="1"/>
  <c r="BM25" i="15"/>
  <c r="BL25" i="15"/>
  <c r="BJ25" i="15"/>
  <c r="BI25" i="15"/>
  <c r="BI24" i="15" s="1"/>
  <c r="BG25" i="15"/>
  <c r="BF25" i="15"/>
  <c r="BD25" i="15"/>
  <c r="BC25" i="15"/>
  <c r="BC24" i="15" s="1"/>
  <c r="BA25" i="15"/>
  <c r="AZ25" i="15"/>
  <c r="AX25" i="15"/>
  <c r="AW25" i="15"/>
  <c r="AW24" i="15" s="1"/>
  <c r="AU25" i="15"/>
  <c r="AT25" i="15"/>
  <c r="AT24" i="15" s="1"/>
  <c r="AR25" i="15"/>
  <c r="AQ25" i="15"/>
  <c r="AQ24" i="15" s="1"/>
  <c r="AO25" i="15"/>
  <c r="AN25" i="15"/>
  <c r="AL25" i="15"/>
  <c r="AK25" i="15"/>
  <c r="AK24" i="15" s="1"/>
  <c r="AI25" i="15"/>
  <c r="AH25" i="15"/>
  <c r="AH24" i="15" s="1"/>
  <c r="AF25" i="15"/>
  <c r="AE25" i="15"/>
  <c r="AE24" i="15" s="1"/>
  <c r="AC25" i="15"/>
  <c r="AB25" i="15"/>
  <c r="Z25" i="15"/>
  <c r="Y25" i="15"/>
  <c r="Y24" i="15" s="1"/>
  <c r="W25" i="15"/>
  <c r="V25" i="15"/>
  <c r="T25" i="15"/>
  <c r="S25" i="15"/>
  <c r="Q25" i="15"/>
  <c r="P25" i="15"/>
  <c r="N25" i="15"/>
  <c r="M25" i="15"/>
  <c r="M24" i="15" s="1"/>
  <c r="BS23" i="15"/>
  <c r="BR23" i="15"/>
  <c r="BP23" i="15"/>
  <c r="BO23" i="15"/>
  <c r="BM23" i="15"/>
  <c r="BL23" i="15"/>
  <c r="BJ23" i="15"/>
  <c r="BI23" i="15"/>
  <c r="BG23" i="15"/>
  <c r="BF23" i="15"/>
  <c r="BD23" i="15"/>
  <c r="BC23" i="15"/>
  <c r="BA23" i="15"/>
  <c r="AZ23" i="15"/>
  <c r="AX23" i="15"/>
  <c r="AW23" i="15"/>
  <c r="AU23" i="15"/>
  <c r="AT23" i="15"/>
  <c r="AR23" i="15"/>
  <c r="AQ23" i="15"/>
  <c r="AO23" i="15"/>
  <c r="AN23" i="15"/>
  <c r="AL23" i="15"/>
  <c r="AK23" i="15"/>
  <c r="AI23" i="15"/>
  <c r="AH23" i="15"/>
  <c r="AF23" i="15"/>
  <c r="AE23" i="15"/>
  <c r="AC23" i="15"/>
  <c r="AB23" i="15"/>
  <c r="Z23" i="15"/>
  <c r="Y23" i="15"/>
  <c r="W23" i="15"/>
  <c r="V23" i="15"/>
  <c r="T23" i="15"/>
  <c r="S23" i="15"/>
  <c r="Q23" i="15"/>
  <c r="P23" i="15"/>
  <c r="N23" i="15"/>
  <c r="M23" i="15"/>
  <c r="BS22" i="15"/>
  <c r="BR22" i="15"/>
  <c r="BR21" i="15" s="1"/>
  <c r="BP22" i="15"/>
  <c r="BO22" i="15"/>
  <c r="BO21" i="15" s="1"/>
  <c r="BM22" i="15"/>
  <c r="BL22" i="15"/>
  <c r="BL21" i="15" s="1"/>
  <c r="BJ22" i="15"/>
  <c r="BI22" i="15"/>
  <c r="BI21" i="15" s="1"/>
  <c r="BG22" i="15"/>
  <c r="BF22" i="15"/>
  <c r="BF21" i="15" s="1"/>
  <c r="BD22" i="15"/>
  <c r="BC22" i="15"/>
  <c r="BC21" i="15" s="1"/>
  <c r="BA22" i="15"/>
  <c r="AZ22" i="15"/>
  <c r="AX22" i="15"/>
  <c r="AW22" i="15"/>
  <c r="AW21" i="15" s="1"/>
  <c r="AU22" i="15"/>
  <c r="AT22" i="15"/>
  <c r="AT21" i="15" s="1"/>
  <c r="AR22" i="15"/>
  <c r="AQ22" i="15"/>
  <c r="AO22" i="15"/>
  <c r="AN22" i="15"/>
  <c r="AN21" i="15" s="1"/>
  <c r="AL22" i="15"/>
  <c r="AK22" i="15"/>
  <c r="AK21" i="15" s="1"/>
  <c r="AI22" i="15"/>
  <c r="AH22" i="15"/>
  <c r="AH21" i="15" s="1"/>
  <c r="AF22" i="15"/>
  <c r="AE22" i="15"/>
  <c r="AE21" i="15" s="1"/>
  <c r="AC22" i="15"/>
  <c r="AB22" i="15"/>
  <c r="Z22" i="15"/>
  <c r="Y22" i="15"/>
  <c r="Y21" i="15" s="1"/>
  <c r="W22" i="15"/>
  <c r="V22" i="15"/>
  <c r="V21" i="15" s="1"/>
  <c r="T22" i="15"/>
  <c r="S22" i="15"/>
  <c r="Q22" i="15"/>
  <c r="P22" i="15"/>
  <c r="P21" i="15" s="1"/>
  <c r="N22" i="15"/>
  <c r="M22" i="15"/>
  <c r="M21" i="15" s="1"/>
  <c r="AZ21" i="15"/>
  <c r="AB21" i="15"/>
  <c r="BS20" i="15"/>
  <c r="BR20" i="15"/>
  <c r="BP20" i="15"/>
  <c r="BO20" i="15"/>
  <c r="BM20" i="15"/>
  <c r="BL20" i="15"/>
  <c r="BJ20" i="15"/>
  <c r="BI20" i="15"/>
  <c r="BG20" i="15"/>
  <c r="BF20" i="15"/>
  <c r="BD20" i="15"/>
  <c r="BC20" i="15"/>
  <c r="BA20" i="15"/>
  <c r="AZ20" i="15"/>
  <c r="AX20" i="15"/>
  <c r="AW20" i="15"/>
  <c r="AU20" i="15"/>
  <c r="AT20" i="15"/>
  <c r="AR20" i="15"/>
  <c r="AQ20" i="15"/>
  <c r="AO20" i="15"/>
  <c r="AN20" i="15"/>
  <c r="AL20" i="15"/>
  <c r="AK20" i="15"/>
  <c r="AI20" i="15"/>
  <c r="AH20" i="15"/>
  <c r="AF20" i="15"/>
  <c r="AE20" i="15"/>
  <c r="AC20" i="15"/>
  <c r="AB20" i="15"/>
  <c r="Z20" i="15"/>
  <c r="Y20" i="15"/>
  <c r="W20" i="15"/>
  <c r="V20" i="15"/>
  <c r="T20" i="15"/>
  <c r="S20" i="15"/>
  <c r="Q20" i="15"/>
  <c r="P20" i="15"/>
  <c r="N20" i="15"/>
  <c r="M20" i="15"/>
  <c r="BS19" i="15"/>
  <c r="BR19" i="15"/>
  <c r="BP19" i="15"/>
  <c r="BO19" i="15"/>
  <c r="BM19" i="15"/>
  <c r="BL19" i="15"/>
  <c r="BJ19" i="15"/>
  <c r="BI19" i="15"/>
  <c r="BG19" i="15"/>
  <c r="BF19" i="15"/>
  <c r="BD19" i="15"/>
  <c r="BC19" i="15"/>
  <c r="BA19" i="15"/>
  <c r="AZ19" i="15"/>
  <c r="AX19" i="15"/>
  <c r="AW19" i="15"/>
  <c r="AU19" i="15"/>
  <c r="AT19" i="15"/>
  <c r="AR19" i="15"/>
  <c r="AQ19" i="15"/>
  <c r="AO19" i="15"/>
  <c r="AN19" i="15"/>
  <c r="AL19" i="15"/>
  <c r="AK19" i="15"/>
  <c r="AI19" i="15"/>
  <c r="AH19" i="15"/>
  <c r="AF19" i="15"/>
  <c r="AE19" i="15"/>
  <c r="AC19" i="15"/>
  <c r="AB19" i="15"/>
  <c r="Z19" i="15"/>
  <c r="Y19" i="15"/>
  <c r="W19" i="15"/>
  <c r="V19" i="15"/>
  <c r="T19" i="15"/>
  <c r="S19" i="15"/>
  <c r="Q19" i="15"/>
  <c r="P19" i="15"/>
  <c r="N19" i="15"/>
  <c r="M19" i="15"/>
  <c r="BS18" i="15"/>
  <c r="BR18" i="15"/>
  <c r="BP18" i="15"/>
  <c r="BO18" i="15"/>
  <c r="BM18" i="15"/>
  <c r="BL18" i="15"/>
  <c r="BJ18" i="15"/>
  <c r="BI18" i="15"/>
  <c r="BG18" i="15"/>
  <c r="BF18" i="15"/>
  <c r="BD18" i="15"/>
  <c r="BC18" i="15"/>
  <c r="BA18" i="15"/>
  <c r="AZ18" i="15"/>
  <c r="AX18" i="15"/>
  <c r="AW18" i="15"/>
  <c r="AU18" i="15"/>
  <c r="AT18" i="15"/>
  <c r="AR18" i="15"/>
  <c r="AQ18" i="15"/>
  <c r="AO18" i="15"/>
  <c r="AN18" i="15"/>
  <c r="AL18" i="15"/>
  <c r="AK18" i="15"/>
  <c r="AI18" i="15"/>
  <c r="AH18" i="15"/>
  <c r="AF18" i="15"/>
  <c r="AE18" i="15"/>
  <c r="AC18" i="15"/>
  <c r="AB18" i="15"/>
  <c r="Z18" i="15"/>
  <c r="Y18" i="15"/>
  <c r="W18" i="15"/>
  <c r="V18" i="15"/>
  <c r="T18" i="15"/>
  <c r="S18" i="15"/>
  <c r="Q18" i="15"/>
  <c r="P18" i="15"/>
  <c r="N18" i="15"/>
  <c r="M18" i="15"/>
  <c r="BS17" i="15"/>
  <c r="BR17" i="15"/>
  <c r="BP17" i="15"/>
  <c r="BO17" i="15"/>
  <c r="BM17" i="15"/>
  <c r="BL17" i="15"/>
  <c r="BJ17" i="15"/>
  <c r="BI17" i="15"/>
  <c r="BG17" i="15"/>
  <c r="BF17" i="15"/>
  <c r="BD17" i="15"/>
  <c r="BC17" i="15"/>
  <c r="BA17" i="15"/>
  <c r="AZ17" i="15"/>
  <c r="AX17" i="15"/>
  <c r="AW17" i="15"/>
  <c r="AU17" i="15"/>
  <c r="AT17" i="15"/>
  <c r="AR17" i="15"/>
  <c r="AQ17" i="15"/>
  <c r="AO17" i="15"/>
  <c r="AN17" i="15"/>
  <c r="AL17" i="15"/>
  <c r="AK17" i="15"/>
  <c r="AI17" i="15"/>
  <c r="AH17" i="15"/>
  <c r="AF17" i="15"/>
  <c r="AE17" i="15"/>
  <c r="AC17" i="15"/>
  <c r="AB17" i="15"/>
  <c r="Z17" i="15"/>
  <c r="Y17" i="15"/>
  <c r="W17" i="15"/>
  <c r="V17" i="15"/>
  <c r="T17" i="15"/>
  <c r="S17" i="15"/>
  <c r="Q17" i="15"/>
  <c r="P17" i="15"/>
  <c r="N17" i="15"/>
  <c r="M17" i="15"/>
  <c r="BS16" i="15"/>
  <c r="BR16" i="15"/>
  <c r="BP16" i="15"/>
  <c r="BO16" i="15"/>
  <c r="BM16" i="15"/>
  <c r="BL16" i="15"/>
  <c r="BJ16" i="15"/>
  <c r="BI16" i="15"/>
  <c r="BG16" i="15"/>
  <c r="BF16" i="15"/>
  <c r="BD16" i="15"/>
  <c r="BC16" i="15"/>
  <c r="BA16" i="15"/>
  <c r="AZ16" i="15"/>
  <c r="AX16" i="15"/>
  <c r="AW16" i="15"/>
  <c r="AU16" i="15"/>
  <c r="AT16" i="15"/>
  <c r="AR16" i="15"/>
  <c r="AQ16" i="15"/>
  <c r="AO16" i="15"/>
  <c r="AN16" i="15"/>
  <c r="AL16" i="15"/>
  <c r="AK16" i="15"/>
  <c r="AI16" i="15"/>
  <c r="AH16" i="15"/>
  <c r="AF16" i="15"/>
  <c r="AE16" i="15"/>
  <c r="AC16" i="15"/>
  <c r="AB16" i="15"/>
  <c r="Z16" i="15"/>
  <c r="Y16" i="15"/>
  <c r="W16" i="15"/>
  <c r="V16" i="15"/>
  <c r="T16" i="15"/>
  <c r="S16" i="15"/>
  <c r="Q16" i="15"/>
  <c r="P16" i="15"/>
  <c r="N16" i="15"/>
  <c r="M16" i="15"/>
  <c r="BS15" i="15"/>
  <c r="BR15" i="15"/>
  <c r="BR14" i="15" s="1"/>
  <c r="BP15" i="15"/>
  <c r="BO15" i="15"/>
  <c r="BO14" i="15" s="1"/>
  <c r="BM15" i="15"/>
  <c r="BL15" i="15"/>
  <c r="BL14" i="15" s="1"/>
  <c r="BJ15" i="15"/>
  <c r="BI15" i="15"/>
  <c r="BI14" i="15" s="1"/>
  <c r="BG15" i="15"/>
  <c r="BF15" i="15"/>
  <c r="BF14" i="15" s="1"/>
  <c r="BD15" i="15"/>
  <c r="BC15" i="15"/>
  <c r="BC14" i="15" s="1"/>
  <c r="BA15" i="15"/>
  <c r="AZ15" i="15"/>
  <c r="AZ14" i="15" s="1"/>
  <c r="AX15" i="15"/>
  <c r="AW15" i="15"/>
  <c r="AU15" i="15"/>
  <c r="AT15" i="15"/>
  <c r="AT14" i="15" s="1"/>
  <c r="AR15" i="15"/>
  <c r="AQ15" i="15"/>
  <c r="AQ14" i="15" s="1"/>
  <c r="AO15" i="15"/>
  <c r="AN15" i="15"/>
  <c r="AN14" i="15" s="1"/>
  <c r="AL15" i="15"/>
  <c r="AK15" i="15"/>
  <c r="AK14" i="15" s="1"/>
  <c r="AK43" i="15" s="1"/>
  <c r="AI15" i="15"/>
  <c r="AH15" i="15"/>
  <c r="AH14" i="15" s="1"/>
  <c r="AF15" i="15"/>
  <c r="AE15" i="15"/>
  <c r="AC15" i="15"/>
  <c r="AB15" i="15"/>
  <c r="AB14" i="15" s="1"/>
  <c r="Z15" i="15"/>
  <c r="Y15" i="15"/>
  <c r="W15" i="15"/>
  <c r="V15" i="15"/>
  <c r="T15" i="15"/>
  <c r="S15" i="15"/>
  <c r="S14" i="15" s="1"/>
  <c r="Q15" i="15"/>
  <c r="P15" i="15"/>
  <c r="P14" i="15" s="1"/>
  <c r="N15" i="15"/>
  <c r="M15" i="15"/>
  <c r="P30" i="15" l="1"/>
  <c r="AQ21" i="15"/>
  <c r="BI43" i="15"/>
  <c r="BI44" i="15" s="1"/>
  <c r="Y14" i="15"/>
  <c r="M30" i="15"/>
  <c r="BR30" i="15"/>
  <c r="BL30" i="15"/>
  <c r="BC39" i="15"/>
  <c r="BC43" i="15" s="1"/>
  <c r="BC45" i="15" s="1"/>
  <c r="Y39" i="15"/>
  <c r="V30" i="15"/>
  <c r="V14" i="15"/>
  <c r="S39" i="15"/>
  <c r="S24" i="15"/>
  <c r="S21" i="15"/>
  <c r="M39" i="15"/>
  <c r="M14" i="15"/>
  <c r="AT43" i="15"/>
  <c r="AT44" i="15" s="1"/>
  <c r="AQ43" i="15"/>
  <c r="AQ45" i="15" s="1"/>
  <c r="BO43" i="15"/>
  <c r="BO44" i="15" s="1"/>
  <c r="P24" i="15"/>
  <c r="V24" i="15"/>
  <c r="AB24" i="15"/>
  <c r="AN24" i="15"/>
  <c r="AZ24" i="15"/>
  <c r="BF24" i="15"/>
  <c r="BL24" i="15"/>
  <c r="BR24" i="15"/>
  <c r="AE14" i="15"/>
  <c r="AE43" i="15" s="1"/>
  <c r="AE46" i="15" s="1"/>
  <c r="AW14" i="15"/>
  <c r="AW43" i="15" s="1"/>
  <c r="AW46" i="15" s="1"/>
  <c r="P35" i="15"/>
  <c r="V35" i="15"/>
  <c r="AB35" i="15"/>
  <c r="AH35" i="15"/>
  <c r="AN35" i="15"/>
  <c r="AZ35" i="15"/>
  <c r="BF35" i="15"/>
  <c r="BF43" i="15" s="1"/>
  <c r="BL35" i="15"/>
  <c r="BR35" i="15"/>
  <c r="AK46" i="15"/>
  <c r="AK44" i="15"/>
  <c r="AK45" i="15"/>
  <c r="BI46" i="15"/>
  <c r="BI45" i="15"/>
  <c r="AH43" i="15"/>
  <c r="K41" i="15"/>
  <c r="K29" i="15"/>
  <c r="K28" i="15"/>
  <c r="K26" i="15"/>
  <c r="K23" i="15"/>
  <c r="K22" i="15"/>
  <c r="K18" i="15"/>
  <c r="K42" i="15"/>
  <c r="K40" i="15"/>
  <c r="K38" i="15"/>
  <c r="K37" i="15"/>
  <c r="K36" i="15"/>
  <c r="K34" i="15"/>
  <c r="K33" i="15"/>
  <c r="K32" i="15"/>
  <c r="K31" i="15"/>
  <c r="K27" i="15"/>
  <c r="K25" i="15"/>
  <c r="K20" i="15"/>
  <c r="K19" i="15"/>
  <c r="K17" i="15"/>
  <c r="K16" i="15"/>
  <c r="S43" i="15" l="1"/>
  <c r="S44" i="15" s="1"/>
  <c r="BL43" i="15"/>
  <c r="BL45" i="15" s="1"/>
  <c r="AZ43" i="15"/>
  <c r="Y43" i="15"/>
  <c r="Y45" i="15" s="1"/>
  <c r="AB43" i="15"/>
  <c r="AB45" i="15" s="1"/>
  <c r="AN43" i="15"/>
  <c r="AN44" i="15" s="1"/>
  <c r="M43" i="15"/>
  <c r="M44" i="15" s="1"/>
  <c r="BR43" i="15"/>
  <c r="BR46" i="15" s="1"/>
  <c r="BO45" i="15"/>
  <c r="BC44" i="15"/>
  <c r="BC46" i="15"/>
  <c r="AW44" i="15"/>
  <c r="AW45" i="15"/>
  <c r="AT46" i="15"/>
  <c r="AT45" i="15"/>
  <c r="AQ44" i="15"/>
  <c r="AQ46" i="15"/>
  <c r="AE45" i="15"/>
  <c r="Y44" i="15"/>
  <c r="V43" i="15"/>
  <c r="V45" i="15" s="1"/>
  <c r="S46" i="15"/>
  <c r="P43" i="15"/>
  <c r="P46" i="15" s="1"/>
  <c r="AN45" i="15"/>
  <c r="AZ45" i="15"/>
  <c r="AZ46" i="15"/>
  <c r="AZ44" i="15"/>
  <c r="AB44" i="15"/>
  <c r="AK47" i="15"/>
  <c r="AK48" i="15" s="1"/>
  <c r="BL46" i="15"/>
  <c r="BO46" i="15"/>
  <c r="AE44" i="15"/>
  <c r="AE47" i="15" s="1"/>
  <c r="BL44" i="15"/>
  <c r="S45" i="15"/>
  <c r="BF46" i="15"/>
  <c r="BF44" i="15"/>
  <c r="BF45" i="15"/>
  <c r="AH46" i="15"/>
  <c r="AH44" i="15"/>
  <c r="AH45" i="15"/>
  <c r="BI47" i="15"/>
  <c r="AW47" i="15"/>
  <c r="J28" i="15"/>
  <c r="H28" i="15"/>
  <c r="J27" i="15"/>
  <c r="H27" i="15"/>
  <c r="J26" i="15"/>
  <c r="H26" i="15"/>
  <c r="AB46" i="15" l="1"/>
  <c r="AB47" i="15"/>
  <c r="Y46" i="15"/>
  <c r="BR45" i="15"/>
  <c r="AN46" i="15"/>
  <c r="BR44" i="15"/>
  <c r="BR47" i="15" s="1"/>
  <c r="BC47" i="15"/>
  <c r="BC48" i="15" s="1"/>
  <c r="BC49" i="15" s="1"/>
  <c r="BC50" i="15" s="1"/>
  <c r="BC53" i="15" s="1"/>
  <c r="AT47" i="15"/>
  <c r="AT48" i="15" s="1"/>
  <c r="M45" i="15"/>
  <c r="P44" i="15"/>
  <c r="M46" i="15"/>
  <c r="M47" i="15" s="1"/>
  <c r="M48" i="15" s="1"/>
  <c r="M49" i="15" s="1"/>
  <c r="M50" i="15" s="1"/>
  <c r="M53" i="15" s="1"/>
  <c r="BO47" i="15"/>
  <c r="BL47" i="15"/>
  <c r="BL48" i="15" s="1"/>
  <c r="BL49" i="15" s="1"/>
  <c r="BL50" i="15" s="1"/>
  <c r="BL53" i="15" s="1"/>
  <c r="AQ47" i="15"/>
  <c r="AQ48" i="15" s="1"/>
  <c r="AQ49" i="15" s="1"/>
  <c r="AQ50" i="15" s="1"/>
  <c r="AQ53" i="15" s="1"/>
  <c r="Y47" i="15"/>
  <c r="Y48" i="15" s="1"/>
  <c r="Y49" i="15" s="1"/>
  <c r="Y50" i="15" s="1"/>
  <c r="Y53" i="15" s="1"/>
  <c r="V46" i="15"/>
  <c r="V47" i="15" s="1"/>
  <c r="V44" i="15"/>
  <c r="S47" i="15"/>
  <c r="S48" i="15" s="1"/>
  <c r="S49" i="15" s="1"/>
  <c r="S50" i="15" s="1"/>
  <c r="S53" i="15" s="1"/>
  <c r="P45" i="15"/>
  <c r="BF47" i="15"/>
  <c r="BO48" i="15"/>
  <c r="BO49" i="15" s="1"/>
  <c r="BO50" i="15" s="1"/>
  <c r="BO53" i="15" s="1"/>
  <c r="AZ47" i="15"/>
  <c r="AN47" i="15"/>
  <c r="AH47" i="15"/>
  <c r="AK49" i="15"/>
  <c r="AK50" i="15" s="1"/>
  <c r="AK53" i="15" s="1"/>
  <c r="AB48" i="15"/>
  <c r="BI48" i="15"/>
  <c r="AE48" i="15"/>
  <c r="AW48" i="15"/>
  <c r="J37" i="15"/>
  <c r="H37" i="15"/>
  <c r="J38" i="15"/>
  <c r="H38" i="15"/>
  <c r="J36" i="15"/>
  <c r="H36" i="15"/>
  <c r="J20" i="15"/>
  <c r="H20" i="15"/>
  <c r="J19" i="15"/>
  <c r="H19" i="15"/>
  <c r="J18" i="15"/>
  <c r="H18" i="15"/>
  <c r="H17" i="15"/>
  <c r="H16" i="15"/>
  <c r="P47" i="15" l="1"/>
  <c r="BF48" i="15"/>
  <c r="BF49" i="15" s="1"/>
  <c r="BF50" i="15" s="1"/>
  <c r="BF53" i="15" s="1"/>
  <c r="AN48" i="15"/>
  <c r="P48" i="15"/>
  <c r="AZ48" i="15"/>
  <c r="AZ49" i="15" s="1"/>
  <c r="AZ50" i="15" s="1"/>
  <c r="AZ53" i="15" s="1"/>
  <c r="V48" i="15"/>
  <c r="AE49" i="15"/>
  <c r="AE50" i="15" s="1"/>
  <c r="AE53" i="15" s="1"/>
  <c r="BI49" i="15"/>
  <c r="BI50" i="15" s="1"/>
  <c r="BI53" i="15" s="1"/>
  <c r="AB49" i="15"/>
  <c r="AB50" i="15" s="1"/>
  <c r="AB53" i="15" s="1"/>
  <c r="AW49" i="15"/>
  <c r="AW50" i="15" s="1"/>
  <c r="AW53" i="15" s="1"/>
  <c r="AT49" i="15"/>
  <c r="AT50" i="15" s="1"/>
  <c r="AT53" i="15" s="1"/>
  <c r="AH48" i="15"/>
  <c r="BR48" i="15"/>
  <c r="H35" i="15"/>
  <c r="J35" i="15"/>
  <c r="P49" i="15" l="1"/>
  <c r="P50" i="15" s="1"/>
  <c r="P53" i="15" s="1"/>
  <c r="AN49" i="15"/>
  <c r="AN50" i="15"/>
  <c r="AN53" i="15" s="1"/>
  <c r="AH49" i="15"/>
  <c r="AH50" i="15" s="1"/>
  <c r="AH53" i="15" s="1"/>
  <c r="BR49" i="15"/>
  <c r="BR50" i="15" s="1"/>
  <c r="BR53" i="15" s="1"/>
  <c r="V49" i="15"/>
  <c r="V50" i="15" s="1"/>
  <c r="V53" i="15" s="1"/>
  <c r="J42" i="15"/>
  <c r="J41" i="15"/>
  <c r="J40" i="15"/>
  <c r="J34" i="15"/>
  <c r="J33" i="15"/>
  <c r="J32" i="15"/>
  <c r="J31" i="15"/>
  <c r="J29" i="15"/>
  <c r="J25" i="15"/>
  <c r="J23" i="15"/>
  <c r="J22" i="15"/>
  <c r="J15" i="15"/>
  <c r="J14" i="15" s="1"/>
  <c r="I47" i="15" l="1"/>
  <c r="K52" i="15"/>
  <c r="G47" i="15"/>
  <c r="H42" i="15"/>
  <c r="H41" i="15" l="1"/>
  <c r="H33" i="15"/>
  <c r="H32" i="15"/>
  <c r="H34" i="15"/>
  <c r="H31" i="15"/>
  <c r="H30" i="15" l="1"/>
  <c r="J30" i="15"/>
  <c r="K51" i="15" l="1"/>
  <c r="H15" i="15" l="1"/>
  <c r="H14" i="15" s="1"/>
  <c r="H40" i="15" l="1"/>
  <c r="H39" i="15" s="1"/>
  <c r="J39" i="15"/>
  <c r="H29" i="15"/>
  <c r="H25" i="15"/>
  <c r="H24" i="15" l="1"/>
  <c r="J24" i="15"/>
  <c r="H22" i="15" l="1"/>
  <c r="H23" i="15"/>
  <c r="AA10" i="15"/>
  <c r="AB54" i="15" s="1"/>
  <c r="BK10" i="15"/>
  <c r="AS10" i="15"/>
  <c r="AD10" i="15"/>
  <c r="AP10" i="15"/>
  <c r="AG10" i="15"/>
  <c r="AH54" i="15" s="1"/>
  <c r="L10" i="15"/>
  <c r="X10" i="15"/>
  <c r="AJ10" i="15"/>
  <c r="AK54" i="15" s="1"/>
  <c r="AV10" i="15"/>
  <c r="BH10" i="15"/>
  <c r="BI54" i="15" s="1"/>
  <c r="U10" i="15"/>
  <c r="BQ10" i="15"/>
  <c r="BE10" i="15"/>
  <c r="BF54" i="15" s="1"/>
  <c r="AM10" i="15"/>
  <c r="AN54" i="15" s="1"/>
  <c r="AY10" i="15"/>
  <c r="BN10" i="15"/>
  <c r="R10" i="15"/>
  <c r="BB10" i="15"/>
  <c r="O10" i="15"/>
  <c r="K15" i="15"/>
  <c r="I10" i="15"/>
  <c r="C22" i="10"/>
  <c r="J22" i="10" s="1"/>
  <c r="C23" i="10"/>
  <c r="I23" i="10" s="1"/>
  <c r="C24" i="10"/>
  <c r="I24" i="10" s="1"/>
  <c r="C25" i="10"/>
  <c r="J25" i="10" s="1"/>
  <c r="C26" i="10"/>
  <c r="J26" i="10" s="1"/>
  <c r="C27" i="10"/>
  <c r="D27" i="10" s="1"/>
  <c r="C28" i="10"/>
  <c r="D28" i="10" s="1"/>
  <c r="C29" i="10"/>
  <c r="J29" i="10" s="1"/>
  <c r="C30" i="10"/>
  <c r="J30" i="10" s="1"/>
  <c r="C31" i="10"/>
  <c r="D31" i="10" s="1"/>
  <c r="C32" i="10"/>
  <c r="J32" i="10" s="1"/>
  <c r="C33" i="10"/>
  <c r="J33" i="10" s="1"/>
  <c r="C34" i="10"/>
  <c r="J34" i="10" s="1"/>
  <c r="C35" i="10"/>
  <c r="J35" i="10" s="1"/>
  <c r="C36" i="10"/>
  <c r="M36" i="10" s="1"/>
  <c r="C46" i="107"/>
  <c r="D46" i="107" s="1"/>
  <c r="C47" i="107"/>
  <c r="D47" i="107" s="1"/>
  <c r="C48" i="107"/>
  <c r="D48" i="107" s="1"/>
  <c r="C49" i="107"/>
  <c r="D49" i="107" s="1"/>
  <c r="C50" i="107"/>
  <c r="D50" i="107" s="1"/>
  <c r="C51" i="107"/>
  <c r="D51" i="107" s="1"/>
  <c r="C52" i="107"/>
  <c r="D52" i="107" s="1"/>
  <c r="C53" i="107"/>
  <c r="D53" i="107" s="1"/>
  <c r="C54" i="107"/>
  <c r="D54" i="107" s="1"/>
  <c r="C55" i="107"/>
  <c r="D55" i="107" s="1"/>
  <c r="C56" i="107"/>
  <c r="D56" i="107" s="1"/>
  <c r="C57" i="107"/>
  <c r="D57" i="107" s="1"/>
  <c r="C58" i="107"/>
  <c r="D58" i="107" s="1"/>
  <c r="C59" i="107"/>
  <c r="D59" i="107" s="1"/>
  <c r="C60" i="107"/>
  <c r="D60" i="107" s="1"/>
  <c r="C61" i="107"/>
  <c r="D61" i="107" s="1"/>
  <c r="C62" i="107"/>
  <c r="D62" i="107" s="1"/>
  <c r="C63" i="107"/>
  <c r="D63" i="107" s="1"/>
  <c r="C64" i="107"/>
  <c r="D64" i="107" s="1"/>
  <c r="C45" i="107"/>
  <c r="D45" i="107" s="1"/>
  <c r="BQ12" i="15"/>
  <c r="BQ11" i="15"/>
  <c r="BQ55" i="15" s="1"/>
  <c r="BN12" i="15"/>
  <c r="BN11" i="15"/>
  <c r="BN55" i="15" s="1"/>
  <c r="BK12" i="15"/>
  <c r="BK11" i="15"/>
  <c r="BK55" i="15" s="1"/>
  <c r="BH12" i="15"/>
  <c r="BH11" i="15"/>
  <c r="BH55" i="15" s="1"/>
  <c r="BE12" i="15"/>
  <c r="BE11" i="15"/>
  <c r="BE55" i="15" s="1"/>
  <c r="BB12" i="15"/>
  <c r="BB11" i="15"/>
  <c r="BB55" i="15" s="1"/>
  <c r="AY12" i="15"/>
  <c r="AY11" i="15"/>
  <c r="AY55" i="15" s="1"/>
  <c r="AV12" i="15"/>
  <c r="AV11" i="15"/>
  <c r="AV55" i="15" s="1"/>
  <c r="AS12" i="15"/>
  <c r="AS11" i="15"/>
  <c r="AS55" i="15" s="1"/>
  <c r="AP12" i="15"/>
  <c r="AP11" i="15"/>
  <c r="AP55" i="15" s="1"/>
  <c r="I12" i="15"/>
  <c r="I11" i="15"/>
  <c r="I55" i="15" s="1"/>
  <c r="AM11" i="15"/>
  <c r="AM55" i="15" s="1"/>
  <c r="AM12" i="15"/>
  <c r="AJ12" i="15"/>
  <c r="AJ11" i="15"/>
  <c r="AJ55" i="15" s="1"/>
  <c r="AG12" i="15"/>
  <c r="AG11" i="15"/>
  <c r="AG55" i="15" s="1"/>
  <c r="AD12" i="15"/>
  <c r="AD11" i="15"/>
  <c r="AD55" i="15" s="1"/>
  <c r="AA12" i="15"/>
  <c r="AA11" i="15"/>
  <c r="AA55" i="15" s="1"/>
  <c r="X12" i="15"/>
  <c r="X11" i="15"/>
  <c r="X55" i="15" s="1"/>
  <c r="U12" i="15"/>
  <c r="U11" i="15"/>
  <c r="U55" i="15" s="1"/>
  <c r="R12" i="15"/>
  <c r="R11" i="15"/>
  <c r="R55" i="15" s="1"/>
  <c r="O12" i="15"/>
  <c r="O11" i="15"/>
  <c r="O55" i="15" s="1"/>
  <c r="L12" i="15"/>
  <c r="L11" i="15"/>
  <c r="L55" i="15" s="1"/>
  <c r="C17" i="10"/>
  <c r="J17" i="10" s="1"/>
  <c r="C18" i="10"/>
  <c r="J18" i="10" s="1"/>
  <c r="C19" i="10"/>
  <c r="J19" i="10" s="1"/>
  <c r="C20" i="10"/>
  <c r="I20" i="10" s="1"/>
  <c r="C21" i="10"/>
  <c r="J21" i="10" s="1"/>
  <c r="K14" i="10"/>
  <c r="B8" i="10"/>
  <c r="P8" i="10" s="1"/>
  <c r="H14" i="107"/>
  <c r="E15" i="107" s="1"/>
  <c r="C44" i="107"/>
  <c r="D44" i="107" s="1"/>
  <c r="AH42" i="107"/>
  <c r="AG42" i="107"/>
  <c r="AF42" i="107"/>
  <c r="AE42" i="107"/>
  <c r="B7" i="107"/>
  <c r="B5" i="107"/>
  <c r="B3" i="107"/>
  <c r="B1" i="107"/>
  <c r="C16" i="10"/>
  <c r="J16" i="10" s="1"/>
  <c r="E37" i="13"/>
  <c r="E38" i="13"/>
  <c r="E39" i="13"/>
  <c r="B5" i="10"/>
  <c r="P5" i="10" s="1"/>
  <c r="B5" i="15"/>
  <c r="B7" i="10"/>
  <c r="P7" i="10" s="1"/>
  <c r="B3" i="10"/>
  <c r="P3" i="10" s="1"/>
  <c r="B1" i="10"/>
  <c r="P1" i="10" s="1"/>
  <c r="B3" i="15"/>
  <c r="B7" i="15"/>
  <c r="B1" i="15"/>
  <c r="P17" i="10"/>
  <c r="P18" i="10" s="1"/>
  <c r="P19" i="10" s="1"/>
  <c r="P20" i="10" s="1"/>
  <c r="P21" i="10" s="1"/>
  <c r="P22" i="10" s="1"/>
  <c r="P23" i="10" s="1"/>
  <c r="P24" i="10" s="1"/>
  <c r="P25" i="10" s="1"/>
  <c r="P26" i="10" s="1"/>
  <c r="P27" i="10" s="1"/>
  <c r="P28" i="10" s="1"/>
  <c r="P29" i="10" s="1"/>
  <c r="P30" i="10" s="1"/>
  <c r="P31" i="10" s="1"/>
  <c r="P32" i="10" s="1"/>
  <c r="P33" i="10" s="1"/>
  <c r="P34" i="10" s="1"/>
  <c r="P35" i="10" s="1"/>
  <c r="P36" i="10" s="1"/>
  <c r="M30" i="10"/>
  <c r="M22" i="10"/>
  <c r="M27" i="10"/>
  <c r="D20" i="10"/>
  <c r="M24" i="10" l="1"/>
  <c r="J36" i="10"/>
  <c r="D36" i="10"/>
  <c r="J28" i="10"/>
  <c r="M28" i="10"/>
  <c r="J24" i="10"/>
  <c r="D24" i="10"/>
  <c r="H24" i="10"/>
  <c r="I29" i="10"/>
  <c r="D22" i="10"/>
  <c r="H34" i="10"/>
  <c r="H16" i="10"/>
  <c r="D21" i="10"/>
  <c r="M19" i="10"/>
  <c r="I31" i="10"/>
  <c r="M31" i="10"/>
  <c r="H31" i="10"/>
  <c r="M23" i="10"/>
  <c r="I30" i="10"/>
  <c r="D23" i="10"/>
  <c r="D30" i="10"/>
  <c r="J31" i="10"/>
  <c r="H30" i="10"/>
  <c r="H19" i="10"/>
  <c r="D19" i="10"/>
  <c r="I33" i="10"/>
  <c r="D26" i="10"/>
  <c r="M33" i="10"/>
  <c r="H33" i="10"/>
  <c r="H26" i="10"/>
  <c r="M16" i="10"/>
  <c r="I18" i="10"/>
  <c r="H36" i="10"/>
  <c r="H22" i="10"/>
  <c r="I26" i="10"/>
  <c r="I19" i="10"/>
  <c r="D33" i="10"/>
  <c r="I36" i="10"/>
  <c r="I22" i="10"/>
  <c r="M26" i="10"/>
  <c r="D18" i="10"/>
  <c r="H25" i="10"/>
  <c r="M18" i="10"/>
  <c r="H21" i="10"/>
  <c r="D32" i="10"/>
  <c r="M29" i="10"/>
  <c r="I35" i="10"/>
  <c r="H32" i="10"/>
  <c r="M25" i="10"/>
  <c r="D35" i="10"/>
  <c r="M32" i="10"/>
  <c r="I25" i="10"/>
  <c r="I21" i="10"/>
  <c r="H35" i="10"/>
  <c r="I32" i="10"/>
  <c r="D25" i="10"/>
  <c r="D29" i="10"/>
  <c r="H29" i="10"/>
  <c r="H18" i="10"/>
  <c r="M21" i="10"/>
  <c r="M35" i="10"/>
  <c r="E40" i="13"/>
  <c r="E38" i="107"/>
  <c r="J20" i="10"/>
  <c r="H20" i="10"/>
  <c r="I34" i="10"/>
  <c r="H17" i="10"/>
  <c r="D17" i="10"/>
  <c r="D16" i="10"/>
  <c r="D34" i="10"/>
  <c r="H28" i="10"/>
  <c r="I17" i="10"/>
  <c r="M34" i="10"/>
  <c r="J23" i="10"/>
  <c r="H23" i="10"/>
  <c r="M17" i="10"/>
  <c r="J27" i="10"/>
  <c r="H27" i="10"/>
  <c r="M20" i="10"/>
  <c r="I28" i="10"/>
  <c r="I27" i="10"/>
  <c r="I16" i="10"/>
  <c r="J21" i="15"/>
  <c r="J43" i="15" s="1"/>
  <c r="H21" i="15"/>
  <c r="H43" i="15" s="1"/>
  <c r="J46" i="15" l="1"/>
  <c r="J45" i="15"/>
  <c r="J44" i="15"/>
  <c r="H44" i="15"/>
  <c r="H45" i="15"/>
  <c r="H46" i="15"/>
  <c r="H47" i="15" l="1"/>
  <c r="H48" i="15" l="1"/>
  <c r="T47" i="15"/>
  <c r="T54" i="15" s="1"/>
  <c r="Z47" i="15"/>
  <c r="Z54" i="15" s="1"/>
  <c r="AR47" i="15"/>
  <c r="AR54" i="15" s="1"/>
  <c r="BP47" i="15"/>
  <c r="BP54" i="15" s="1"/>
  <c r="N47" i="15"/>
  <c r="N54" i="15" s="1"/>
  <c r="BJ47" i="15"/>
  <c r="BJ54" i="15" s="1"/>
  <c r="AU47" i="15"/>
  <c r="AU54" i="15" s="1"/>
  <c r="AF47" i="15"/>
  <c r="AF54" i="15" s="1"/>
  <c r="AX47" i="15"/>
  <c r="AX54" i="15" s="1"/>
  <c r="AL47" i="15"/>
  <c r="AL54" i="15" s="1"/>
  <c r="BD47" i="15"/>
  <c r="BD54" i="15" s="1"/>
  <c r="BM47" i="15"/>
  <c r="BM54" i="15" s="1"/>
  <c r="AC47" i="15"/>
  <c r="AC54" i="15" s="1"/>
  <c r="BG47" i="15"/>
  <c r="BG54" i="15" s="1"/>
  <c r="Q47" i="15"/>
  <c r="Q54" i="15" s="1"/>
  <c r="AO47" i="15"/>
  <c r="AO54" i="15" s="1"/>
  <c r="W47" i="15"/>
  <c r="W54" i="15" s="1"/>
  <c r="BS47" i="15"/>
  <c r="BS54" i="15" s="1"/>
  <c r="BA47" i="15"/>
  <c r="BA54" i="15" s="1"/>
  <c r="AI47" i="15"/>
  <c r="AI54" i="15" s="1"/>
  <c r="J47" i="15"/>
  <c r="J48" i="15" s="1"/>
  <c r="J49" i="15" s="1"/>
  <c r="H49" i="15"/>
  <c r="J50" i="15" l="1"/>
  <c r="J53" i="15" s="1"/>
  <c r="K47" i="15"/>
  <c r="K54" i="15" s="1"/>
  <c r="H50" i="15"/>
  <c r="H53" i="15" s="1"/>
  <c r="H54" i="15" s="1"/>
  <c r="P54" i="15" s="1"/>
  <c r="BO54" i="15" l="1"/>
  <c r="S54" i="15"/>
  <c r="BL54" i="15"/>
  <c r="AQ54" i="15"/>
  <c r="BR54" i="15"/>
  <c r="M54" i="15"/>
  <c r="E45" i="107" s="1"/>
  <c r="E17" i="10" s="1"/>
  <c r="BC54" i="15"/>
  <c r="AT54" i="15"/>
  <c r="AW54" i="15"/>
  <c r="Y54" i="15"/>
  <c r="AE54" i="15"/>
  <c r="AZ54" i="15"/>
  <c r="V54" i="15"/>
  <c r="E50" i="107"/>
  <c r="F50" i="107" s="1"/>
  <c r="J54" i="15"/>
  <c r="H24" i="107"/>
  <c r="E22" i="10" l="1"/>
  <c r="G50" i="107"/>
  <c r="G45" i="107"/>
  <c r="F17" i="10" s="1"/>
  <c r="I45" i="107"/>
  <c r="F45" i="107"/>
  <c r="E52" i="107"/>
  <c r="E24" i="10" s="1"/>
  <c r="E46" i="107"/>
  <c r="O45" i="107" s="1"/>
  <c r="E48" i="107"/>
  <c r="E20" i="10" s="1"/>
  <c r="I50" i="107"/>
  <c r="E47" i="107"/>
  <c r="E19" i="10" s="1"/>
  <c r="E49" i="107"/>
  <c r="E21" i="10" s="1"/>
  <c r="E51" i="107"/>
  <c r="O50" i="107" s="1"/>
  <c r="E44" i="107"/>
  <c r="E16" i="10" s="1"/>
  <c r="F22" i="10"/>
  <c r="E53" i="107"/>
  <c r="E25" i="10" s="1"/>
  <c r="E18" i="10" l="1"/>
  <c r="E23" i="10"/>
  <c r="F44" i="107"/>
  <c r="G44" i="107"/>
  <c r="F16" i="10" s="1"/>
  <c r="F51" i="107"/>
  <c r="I51" i="107"/>
  <c r="G51" i="107"/>
  <c r="F23" i="10" s="1"/>
  <c r="O51" i="107"/>
  <c r="F47" i="107"/>
  <c r="O47" i="107"/>
  <c r="G47" i="107"/>
  <c r="I47" i="107"/>
  <c r="I44" i="107"/>
  <c r="O48" i="107"/>
  <c r="F48" i="107"/>
  <c r="I48" i="107"/>
  <c r="G48" i="107"/>
  <c r="F52" i="107"/>
  <c r="I52" i="107"/>
  <c r="G52" i="107"/>
  <c r="F24" i="10" s="1"/>
  <c r="I49" i="107"/>
  <c r="F49" i="107"/>
  <c r="G49" i="107"/>
  <c r="O49" i="107"/>
  <c r="O44" i="107"/>
  <c r="G46" i="107"/>
  <c r="F46" i="107"/>
  <c r="O46" i="107"/>
  <c r="I46" i="107"/>
  <c r="O52" i="107"/>
  <c r="I53" i="107"/>
  <c r="F53" i="107"/>
  <c r="G53" i="107"/>
  <c r="F25" i="10" s="1"/>
  <c r="E54" i="107"/>
  <c r="E26" i="10" s="1"/>
  <c r="F20" i="10" l="1"/>
  <c r="F19" i="10"/>
  <c r="F21" i="10"/>
  <c r="F18" i="10"/>
  <c r="O53" i="107"/>
  <c r="E55" i="107"/>
  <c r="E27" i="10" s="1"/>
  <c r="G54" i="107"/>
  <c r="F26" i="10" s="1"/>
  <c r="F54" i="107"/>
  <c r="I54" i="107"/>
  <c r="I55" i="107" l="1"/>
  <c r="G55" i="107"/>
  <c r="F27" i="10" s="1"/>
  <c r="F55" i="107"/>
  <c r="E56" i="107"/>
  <c r="E28" i="10" s="1"/>
  <c r="O54" i="107"/>
  <c r="E57" i="107" l="1"/>
  <c r="O56" i="107" s="1"/>
  <c r="I56" i="107"/>
  <c r="F56" i="107"/>
  <c r="G56" i="107"/>
  <c r="F28" i="10" s="1"/>
  <c r="O55" i="107"/>
  <c r="E29" i="10" l="1"/>
  <c r="F57" i="107"/>
  <c r="G57" i="107"/>
  <c r="F29" i="10" s="1"/>
  <c r="I57" i="107"/>
  <c r="E58" i="107"/>
  <c r="E30" i="10" s="1"/>
  <c r="I58" i="107" l="1"/>
  <c r="F58" i="107"/>
  <c r="G58" i="107"/>
  <c r="F30" i="10" s="1"/>
  <c r="O57" i="107"/>
  <c r="E59" i="107"/>
  <c r="E31" i="10" s="1"/>
  <c r="I59" i="107" l="1"/>
  <c r="F59" i="107"/>
  <c r="G59" i="107"/>
  <c r="F31" i="10" s="1"/>
  <c r="O58" i="107"/>
  <c r="E60" i="107"/>
  <c r="E32" i="10" s="1"/>
  <c r="G60" i="107" l="1"/>
  <c r="F32" i="10" s="1"/>
  <c r="F60" i="107"/>
  <c r="I60" i="107"/>
  <c r="O59" i="107"/>
  <c r="E61" i="107"/>
  <c r="E33" i="10" s="1"/>
  <c r="E62" i="107" l="1"/>
  <c r="E34" i="10" s="1"/>
  <c r="G61" i="107"/>
  <c r="F33" i="10" s="1"/>
  <c r="F61" i="107"/>
  <c r="O60" i="107"/>
  <c r="F62" i="107" l="1"/>
  <c r="G62" i="107"/>
  <c r="F34" i="10" s="1"/>
  <c r="E63" i="107"/>
  <c r="O62" i="107" s="1"/>
  <c r="O61" i="107"/>
  <c r="E35" i="10" l="1"/>
  <c r="E64" i="107"/>
  <c r="O63" i="107" s="1"/>
  <c r="F63" i="107"/>
  <c r="G63" i="107"/>
  <c r="E36" i="10" l="1"/>
  <c r="F35" i="10"/>
  <c r="O64" i="107"/>
  <c r="F64" i="107"/>
  <c r="G64" i="107"/>
  <c r="F36" i="10" s="1"/>
  <c r="N50" i="107" l="1"/>
  <c r="N46" i="107"/>
  <c r="N53" i="107"/>
  <c r="N47" i="107"/>
  <c r="N48" i="107"/>
  <c r="N55" i="107"/>
  <c r="N44" i="107"/>
  <c r="N45" i="107"/>
  <c r="N57" i="107"/>
  <c r="H18" i="107"/>
  <c r="N51" i="107"/>
  <c r="N54" i="107"/>
  <c r="N52" i="107"/>
  <c r="N49" i="107"/>
  <c r="N58" i="107"/>
  <c r="N56" i="107"/>
  <c r="N59" i="107"/>
  <c r="N61" i="107"/>
  <c r="N60" i="107"/>
  <c r="N62" i="107"/>
  <c r="N63" i="107"/>
  <c r="N64" i="107"/>
  <c r="H32" i="107" l="1"/>
  <c r="H34" i="107" s="1"/>
  <c r="H23" i="107"/>
  <c r="H33" i="107"/>
  <c r="H21" i="107"/>
  <c r="H28" i="107" s="1"/>
  <c r="H19" i="107"/>
  <c r="H22" i="107"/>
  <c r="H20" i="107"/>
  <c r="H38" i="107" l="1"/>
  <c r="H30" i="107"/>
  <c r="J48" i="107"/>
  <c r="J47" i="107"/>
  <c r="J51" i="107"/>
  <c r="J44" i="107"/>
  <c r="J50" i="107"/>
  <c r="J53" i="107"/>
  <c r="J49" i="107"/>
  <c r="J54" i="107"/>
  <c r="J46" i="107"/>
  <c r="J52" i="107"/>
  <c r="J45" i="107"/>
  <c r="J55" i="107"/>
  <c r="J56" i="107"/>
  <c r="J57" i="107"/>
  <c r="J58" i="107"/>
  <c r="J59" i="107"/>
  <c r="J60" i="107"/>
  <c r="M44" i="107"/>
  <c r="M51" i="107"/>
  <c r="M47" i="107"/>
  <c r="M45" i="107"/>
  <c r="M53" i="107"/>
  <c r="M50" i="107"/>
  <c r="M54" i="107"/>
  <c r="M52" i="107"/>
  <c r="M48" i="107"/>
  <c r="M49" i="107"/>
  <c r="M46" i="107"/>
  <c r="M55" i="107"/>
  <c r="M56" i="107"/>
  <c r="M57" i="107"/>
  <c r="M58" i="107"/>
  <c r="M59" i="107"/>
  <c r="M60" i="107"/>
  <c r="H35" i="107"/>
  <c r="H70" i="107" l="1"/>
  <c r="K44" i="107"/>
  <c r="K53" i="107"/>
  <c r="K48" i="107"/>
  <c r="K59" i="107"/>
  <c r="K51" i="107"/>
  <c r="K54" i="107"/>
  <c r="K45" i="107"/>
  <c r="K57" i="107"/>
  <c r="K49" i="107"/>
  <c r="K58" i="107"/>
  <c r="K52" i="107"/>
  <c r="K55" i="107"/>
  <c r="K46" i="107"/>
  <c r="K60" i="107"/>
  <c r="K56" i="107"/>
  <c r="K50" i="107"/>
  <c r="K47" i="107"/>
  <c r="L51" i="107"/>
  <c r="L52" i="107"/>
  <c r="L45" i="107"/>
  <c r="L49" i="107"/>
  <c r="L44" i="107"/>
  <c r="L48" i="107"/>
  <c r="L50" i="107"/>
  <c r="L53" i="107"/>
  <c r="L47" i="107"/>
  <c r="L54" i="107"/>
  <c r="L46" i="107"/>
  <c r="L55" i="107"/>
  <c r="L56" i="107"/>
  <c r="L57" i="107"/>
  <c r="L58" i="107"/>
  <c r="L59" i="107"/>
  <c r="L60" i="107"/>
  <c r="H69" i="107" l="1"/>
  <c r="H63" i="107"/>
  <c r="G35" i="10" s="1"/>
  <c r="K35" i="10" s="1"/>
  <c r="H59" i="107"/>
  <c r="G31" i="10" s="1"/>
  <c r="K31" i="10" s="1"/>
  <c r="H55" i="107"/>
  <c r="G27" i="10" s="1"/>
  <c r="K27" i="10" s="1"/>
  <c r="H51" i="107"/>
  <c r="G23" i="10" s="1"/>
  <c r="K23" i="10" s="1"/>
  <c r="H47" i="107"/>
  <c r="G19" i="10" s="1"/>
  <c r="K19" i="10" s="1"/>
  <c r="H53" i="107"/>
  <c r="G25" i="10" s="1"/>
  <c r="K25" i="10" s="1"/>
  <c r="H45" i="107"/>
  <c r="G17" i="10" s="1"/>
  <c r="K17" i="10" s="1"/>
  <c r="H62" i="107"/>
  <c r="G34" i="10" s="1"/>
  <c r="K34" i="10" s="1"/>
  <c r="H58" i="107"/>
  <c r="G30" i="10" s="1"/>
  <c r="K30" i="10" s="1"/>
  <c r="H54" i="107"/>
  <c r="G26" i="10" s="1"/>
  <c r="K26" i="10" s="1"/>
  <c r="H50" i="107"/>
  <c r="G22" i="10" s="1"/>
  <c r="K22" i="10" s="1"/>
  <c r="H46" i="107"/>
  <c r="G18" i="10" s="1"/>
  <c r="K18" i="10" s="1"/>
  <c r="H61" i="107"/>
  <c r="G33" i="10" s="1"/>
  <c r="K33" i="10" s="1"/>
  <c r="H49" i="107"/>
  <c r="G21" i="10" s="1"/>
  <c r="K21" i="10" s="1"/>
  <c r="H57" i="107"/>
  <c r="G29" i="10" s="1"/>
  <c r="K29" i="10" s="1"/>
  <c r="H56" i="107"/>
  <c r="G28" i="10" s="1"/>
  <c r="K28" i="10" s="1"/>
  <c r="H52" i="107"/>
  <c r="H60" i="107"/>
  <c r="G32" i="10" s="1"/>
  <c r="K32" i="10" s="1"/>
  <c r="H64" i="107"/>
  <c r="G36" i="10" s="1"/>
  <c r="K36" i="10" s="1"/>
  <c r="H48" i="107"/>
  <c r="G20" i="10" s="1"/>
  <c r="K20" i="10" s="1"/>
  <c r="H44" i="107"/>
  <c r="G16" i="10" s="1"/>
  <c r="K16" i="10" s="1"/>
  <c r="H68" i="107" l="1"/>
  <c r="G24" i="10"/>
  <c r="K24" i="10" s="1"/>
  <c r="H76" i="107"/>
  <c r="H71" i="107" s="1"/>
  <c r="H73" i="107" l="1"/>
  <c r="H72" i="107"/>
  <c r="O16" i="10"/>
  <c r="O27" i="10"/>
  <c r="O33" i="10"/>
  <c r="O20" i="10"/>
  <c r="O19" i="10"/>
  <c r="O36" i="10"/>
  <c r="O31" i="10"/>
  <c r="O26" i="10"/>
  <c r="O25" i="10"/>
  <c r="O29" i="10"/>
  <c r="O18" i="10"/>
  <c r="O35" i="10"/>
  <c r="O23" i="10"/>
  <c r="O24" i="10"/>
  <c r="O32" i="10"/>
  <c r="O22" i="10"/>
  <c r="O28" i="10"/>
  <c r="O30" i="10"/>
  <c r="O17" i="10"/>
  <c r="O34" i="10"/>
  <c r="O21" i="10"/>
  <c r="Q16" i="10" l="1"/>
  <c r="P13" i="10" s="1"/>
  <c r="P38" i="10" s="1"/>
  <c r="Q17" i="10"/>
  <c r="R17" i="10" s="1"/>
  <c r="Q18" i="10"/>
  <c r="S18" i="10" s="1"/>
  <c r="Q24" i="10"/>
  <c r="R24" i="10" s="1"/>
  <c r="Q26" i="10"/>
  <c r="R26" i="10" s="1"/>
  <c r="Q19" i="10"/>
  <c r="R19" i="10" s="1"/>
  <c r="Q34" i="10"/>
  <c r="S34" i="10" s="1"/>
  <c r="Q30" i="10"/>
  <c r="R30" i="10" s="1"/>
  <c r="Q32" i="10"/>
  <c r="S32" i="10" s="1"/>
  <c r="Q29" i="10"/>
  <c r="R29" i="10" s="1"/>
  <c r="Q25" i="10"/>
  <c r="S25" i="10" s="1"/>
  <c r="Q33" i="10"/>
  <c r="S33" i="10" s="1"/>
  <c r="Q20" i="10"/>
  <c r="R20" i="10" s="1"/>
  <c r="Q35" i="10"/>
  <c r="S35" i="10" s="1"/>
  <c r="Q31" i="10"/>
  <c r="R31" i="10" s="1"/>
  <c r="Q36" i="10"/>
  <c r="S36" i="10" s="1"/>
  <c r="Q27" i="10"/>
  <c r="S27" i="10" s="1"/>
  <c r="Q22" i="10"/>
  <c r="R22" i="10" s="1"/>
  <c r="Q28" i="10"/>
  <c r="R28" i="10" s="1"/>
  <c r="Q21" i="10"/>
  <c r="R21" i="10" s="1"/>
  <c r="Q23" i="10"/>
  <c r="S23" i="10" s="1"/>
  <c r="R32" i="10" l="1"/>
  <c r="R16" i="10"/>
  <c r="S16" i="10"/>
  <c r="S17" i="10"/>
  <c r="R18" i="10"/>
  <c r="R34" i="10"/>
  <c r="R35" i="10"/>
  <c r="R25" i="10"/>
  <c r="S19" i="10"/>
  <c r="S20" i="10"/>
  <c r="S31" i="10"/>
  <c r="S24" i="10"/>
  <c r="S21" i="10"/>
  <c r="S22" i="10"/>
  <c r="S29" i="10"/>
  <c r="R23" i="10"/>
  <c r="R33" i="10"/>
  <c r="R27" i="10"/>
  <c r="S30" i="10"/>
  <c r="S26" i="10"/>
  <c r="R36" i="10"/>
  <c r="S28" i="10"/>
</calcChain>
</file>

<file path=xl/sharedStrings.xml><?xml version="1.0" encoding="utf-8"?>
<sst xmlns="http://schemas.openxmlformats.org/spreadsheetml/2006/main" count="362" uniqueCount="208">
  <si>
    <t>PRESUPUESTO OFICIAL</t>
  </si>
  <si>
    <t>UNIDAD</t>
  </si>
  <si>
    <t>VR PARCIAL</t>
  </si>
  <si>
    <t xml:space="preserve"> </t>
  </si>
  <si>
    <t>PUNTAJE</t>
  </si>
  <si>
    <t>PROPONENTE</t>
  </si>
  <si>
    <t>CANTIDAD</t>
  </si>
  <si>
    <t>NO ADMISIBLE</t>
  </si>
  <si>
    <t>ADMISIBLE</t>
  </si>
  <si>
    <t>JERARQUIA</t>
  </si>
  <si>
    <t>No.</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</si>
  <si>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</si>
  <si>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</si>
  <si>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</si>
  <si>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</si>
  <si>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</si>
  <si>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</si>
  <si>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</si>
  <si>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</si>
  <si>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</si>
  <si>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</si>
  <si>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</si>
  <si>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</si>
  <si>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</si>
  <si>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</si>
  <si>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</si>
  <si>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</si>
  <si>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</si>
  <si>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</si>
  <si>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</si>
  <si>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</si>
  <si>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</si>
  <si>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</si>
  <si>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</si>
  <si>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</si>
  <si>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</si>
  <si>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</si>
  <si>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</si>
  <si>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</si>
  <si>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</si>
  <si>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</si>
  <si>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</si>
  <si>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</si>
  <si>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</si>
  <si>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</si>
  <si>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</si>
  <si>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</si>
  <si>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</si>
  <si>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</si>
  <si>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</si>
  <si>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</si>
  <si>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</si>
  <si>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</si>
  <si>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</si>
  <si>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</si>
  <si>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</si>
  <si>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</si>
  <si>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</si>
  <si>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</si>
  <si>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</si>
  <si>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</si>
  <si>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</si>
  <si>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</si>
  <si>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</si>
  <si>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</si>
  <si>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</si>
  <si>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</si>
  <si>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</si>
  <si>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</si>
  <si>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</si>
  <si>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</si>
  <si>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</si>
  <si>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</si>
  <si>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</si>
  <si>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</si>
  <si>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</si>
  <si>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</si>
  <si>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</si>
  <si>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</si>
  <si>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</si>
  <si>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</si>
  <si>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</si>
  <si>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</si>
  <si>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</si>
  <si>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</si>
  <si>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</si>
  <si>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</si>
  <si>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</si>
  <si>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</si>
  <si>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</si>
  <si>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</si>
  <si>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ADMINISTRACIÓN</t>
  </si>
  <si>
    <t>IMPREVISTOS</t>
  </si>
  <si>
    <t>UTILIDAD</t>
  </si>
  <si>
    <t>900.2</t>
  </si>
  <si>
    <t>DESCRIPCIÓN</t>
  </si>
  <si>
    <t>630.6</t>
  </si>
  <si>
    <t>640.1</t>
  </si>
  <si>
    <t>m3</t>
  </si>
  <si>
    <t>m2</t>
  </si>
  <si>
    <t>kg</t>
  </si>
  <si>
    <t>FIDUPREVISORA</t>
  </si>
  <si>
    <t>PATRIMONIO AUTÓNOMO FIDEICOMISO ECOPETROL ZOMAC (en adelante PATRIMONIO AUTÓNOMO) FIDUCIARIA LA PREVISORA S.A.</t>
  </si>
  <si>
    <t>ÍTEM DE PAGO</t>
  </si>
  <si>
    <t>420.2</t>
  </si>
  <si>
    <t>610.3</t>
  </si>
  <si>
    <t>700.1</t>
  </si>
  <si>
    <t>900.1</t>
  </si>
  <si>
    <t>m3-E</t>
  </si>
  <si>
    <t>TOTAL AIU</t>
  </si>
  <si>
    <t>IVA SOBRE LA UTILIDAD</t>
  </si>
  <si>
    <t>No. de Proyectos del Proceso</t>
  </si>
  <si>
    <t>VALOR PROPUESTA ECONÓMICA CORREGIDA</t>
  </si>
  <si>
    <t>VALOR PROPUESTA ECONÓMICA</t>
  </si>
  <si>
    <t>LICITACIÓN PRIVADA ABIERTA N° 006 DE 2018</t>
  </si>
  <si>
    <t>3. Media Geométrica con presupuesto estimado</t>
  </si>
  <si>
    <t>Número de veces que se debe incluir el PE = nv</t>
  </si>
  <si>
    <t>Media geométrica con presupuesto estimado aproximado a números enteros = Mgpo</t>
  </si>
  <si>
    <t>MEDIA GEOMÉTRICA CON PRESUPUESTO ESTIMADO</t>
  </si>
  <si>
    <t>EXPLANACIONES</t>
  </si>
  <si>
    <t>PAVIMENTOS ASFÁLTICOS</t>
  </si>
  <si>
    <t>ESTRUCTURAS Y DRENAJES</t>
  </si>
  <si>
    <t>SEÑALIZACIÓN Y SEGURIDAD</t>
  </si>
  <si>
    <t>201.7</t>
  </si>
  <si>
    <t>210.1.1</t>
  </si>
  <si>
    <t>210.1.2</t>
  </si>
  <si>
    <t>220.1</t>
  </si>
  <si>
    <t>221.1</t>
  </si>
  <si>
    <t>450.2P</t>
  </si>
  <si>
    <t>600.1.1</t>
  </si>
  <si>
    <t>710.1.1</t>
  </si>
  <si>
    <t>m</t>
  </si>
  <si>
    <t>Excavaciones varias sin clasificar</t>
  </si>
  <si>
    <t>u</t>
  </si>
  <si>
    <t>PRESUPUESTO ESTIMADO</t>
  </si>
  <si>
    <t>PROYECTO No. 2: REHABILITACIÓN DE LA VIA TAME - COROCORO (6605), COROCORO - ARAUCA (6606). DEPARTAMENTO DE ARAUCA VINCULADOS AL CONTRIBUYENTE ECOPETROL S.A. DENTRO DEL MARCO DEL MECANISMO DE OBRAS POR IMPUESTOS</t>
  </si>
  <si>
    <t>VALOR UNITARIO</t>
  </si>
  <si>
    <t>VU vs PE</t>
  </si>
  <si>
    <t>BASE, SUBBASE Y AFIRMADOS</t>
  </si>
  <si>
    <t>TRANSPORTES</t>
  </si>
  <si>
    <t>SUBTOTAL OBRAS (SIN AIU)</t>
  </si>
  <si>
    <t>GRAN TOTAL DE LA VÍA CON AIU (SIN IVA)</t>
  </si>
  <si>
    <t>GRAN TOTAL DE LA VÍA CON AIU E IVA</t>
  </si>
  <si>
    <t>REVISIÓN Y/O AJUSTE Y/O ACTUALIZACIÓN Y/O MODIFICACIÓN Y/O COMPLEMENTACIÓN Y/O ELABORACIÓN DE ESTUDIOS Y DISEÑOS PARA CONSTRUCCIÓN DE CARRETERAS INCLUIDO IVA</t>
  </si>
  <si>
    <t>OBRAS AMBIENTALES DEL PAGA Y GESTIÓN SOCIAL E INMOBILIARIA Y PMT INCLUIDO IVA</t>
  </si>
  <si>
    <t>GRAN TOTAL DE LA VÍA</t>
  </si>
  <si>
    <t>221.1P</t>
  </si>
  <si>
    <t>320.2</t>
  </si>
  <si>
    <t>330.2</t>
  </si>
  <si>
    <t>450.3P</t>
  </si>
  <si>
    <t>460.1P</t>
  </si>
  <si>
    <t>701.1</t>
  </si>
  <si>
    <t>900.4</t>
  </si>
  <si>
    <t>Demolicion de estructuras</t>
  </si>
  <si>
    <t>Excavaciones sin clasificar de la explanacion y canales</t>
  </si>
  <si>
    <t>Excavaciones sin clasificar de prestamos</t>
  </si>
  <si>
    <t xml:space="preserve">Pedraplén compacto  </t>
  </si>
  <si>
    <t>Material para pedraplén</t>
  </si>
  <si>
    <t>Terraplén</t>
  </si>
  <si>
    <t>Sub base Granular clase B</t>
  </si>
  <si>
    <t>Base Granular clase B</t>
  </si>
  <si>
    <t>Riego de imprimación con emulsión asfáltica CRL-1</t>
  </si>
  <si>
    <t>Mezcla densa en caliente tipo MDC-19 (Incluye cemento asfáltico)</t>
  </si>
  <si>
    <t>Riego de liga con emulsion asfaltica CRR-1</t>
  </si>
  <si>
    <t>Mezcla densa en caliente tipo MDC-25 (incluye cemento asfáltico) para capa intermedia Tramo Tame-corocora</t>
  </si>
  <si>
    <t>Fresado de pavimento asfaltico</t>
  </si>
  <si>
    <t>Relleno para estructuras con material granular tipo SBG</t>
  </si>
  <si>
    <t>Concreto clase F 14MPA</t>
  </si>
  <si>
    <t>Acero de refuerzo Fy = 420 Mpa</t>
  </si>
  <si>
    <t>Suministro y aplicación de pintura en frío acrílica pura base agua para líneas de demarcación de pavimentos</t>
  </si>
  <si>
    <t>Suministro e instalación de tachas reflectiva bidireccionales</t>
  </si>
  <si>
    <t>und</t>
  </si>
  <si>
    <t>Señal vertical de Transito Tipo I con lamina retroreflectivo de 75X75 cm</t>
  </si>
  <si>
    <t>Transporte de materiales provenientes de la excavación de la explanación, canales y prestamos entre cien metros (100 m) y mil metros (1000m) de distancia</t>
  </si>
  <si>
    <t>Transporte de materiales provenientes de la excavación de la explanación, canales y prestamos para distancias mayores de mil (1.000 m) medidos a partir de 100m</t>
  </si>
  <si>
    <t>m3*Km</t>
  </si>
  <si>
    <t>Transporte de materiales granulares para: Pedraplen, Sub-bases, Bases y Afirmados, Pavimentos Asfálticos</t>
  </si>
  <si>
    <t>CONSORCIO ZOMAC ARAUCA</t>
  </si>
  <si>
    <t>CONSORCIO VÍA COROCORO</t>
  </si>
  <si>
    <t>MAQUINARIA INGENIERIA CONSTRUCCIÓN Y OBRAS S.A.S</t>
  </si>
  <si>
    <t>EQUIPOS Y TRITURADOS S.A.S</t>
  </si>
  <si>
    <t>INGECON S.A</t>
  </si>
  <si>
    <t>CONSORCIO DBS-AP</t>
  </si>
  <si>
    <t xml:space="preserve">CONSORCIO PUERTA DEL SOL </t>
  </si>
  <si>
    <t>CONSORCIO VÍAS ARAUCA</t>
  </si>
  <si>
    <t>U.T COROCORO- ARAUCA 2018</t>
  </si>
  <si>
    <t>U.T SERVICIOS E INGENIERIA COROCORO</t>
  </si>
  <si>
    <t>CONSORCIO VIAL ARAUCA</t>
  </si>
  <si>
    <t>CONSORCIO TAME 2018</t>
  </si>
  <si>
    <t>CONSORCIO SAMORÉ</t>
  </si>
  <si>
    <t>CONSORCIO VIAL COROCORO 2018</t>
  </si>
  <si>
    <t>UNION TEMPORAL TAME COROCORO</t>
  </si>
  <si>
    <t>CONSORCIO TADEO VÍAS</t>
  </si>
  <si>
    <t>CONSORCIO DEL ORIENTE</t>
  </si>
  <si>
    <t>CONSORCIO VÍAS COLOMBIA 2019</t>
  </si>
  <si>
    <t>CONSORCIO INFRAESTRUCTURA ARAUCA</t>
  </si>
  <si>
    <t>CONSORCIO RUTA NACIONAL 2018</t>
  </si>
  <si>
    <t>CONSORCIO ECO-VIAS</t>
  </si>
  <si>
    <t>CORRECCION ARITMETICA DEBIDO A QUE NO COINCIDE LA OPERACIÓN ARITMETICA DEL PRECIO POR LA CANTIDAD DE LOS ITEMS DE LA PROPUESTA</t>
  </si>
  <si>
    <t>CORRECCION ARITMETICA DEBIDO A QUE NO COINCIDE LA OPERACIÓN ARITMETICA DEL GRAN TOTAL DE LA VIA CON AIU E IVA</t>
  </si>
  <si>
    <t>CORRECCION ARITMETICA DEBIDO A QUE NO COINCIDE LA OPERACIÓN MATEMATICA DEL  PRECIO POR LA CANTIDAD DE ALGUNOS ITEMS DE LA PROPUESTA</t>
  </si>
  <si>
    <t xml:space="preserve">SUPERO EL PRESUPUESTO OFICIAL DEL ITEM 11 </t>
  </si>
  <si>
    <t>CORRECCION ARITMETICA DEBIDO A QUE NO COINCIDE LA OPERACIÓN ARITEMTICA DEL PRECIO POR LA CANTIDAD DE ALGUNOS ITEMS DE LA PROPUESTA</t>
  </si>
  <si>
    <t>CORRECCION ARITMETICA DEBIDO A QUE NO COINCIDE LA OPERACIÓN MATEMATICA DEL PRECIO POR LA CANTIDAD DE ALGUNOS ITEMS DE LA PROPUESTA</t>
  </si>
  <si>
    <t>RECHAZADO DEBIDO A QUE SUPERO EL PRESUPUESTO OFICIAL DEL ITEM 7</t>
  </si>
  <si>
    <t>CORRECCION ARITMETICA DEBIDO A QUE NO COINCIDE LA OPERACIÓN MATEMATICA DEL PRECIO POR LA CANTIDAD DE LOS ITEMS DE LA PROPUESTA</t>
  </si>
  <si>
    <t>CORRECCION ARITMETICA DEBIDO A QUE NO COINCIDE LA OPERACIÓN MATEMATICA DEL TOTAL AIU</t>
  </si>
  <si>
    <t>RECHAZO POR PRESENTACIÓN DE ÍTEMS QUE SUPERAN LOS VALORES  UNITARIOS ESTABLECIDOS EN EL PRESUPUESTO ESTIMADO.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</si>
</sst>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64" formatCode="_(* #,##0_);_(* \(#,##0\);_(* &quot;-&quot;_);_(@_)"/>
    <numFmt numFmtId="165" formatCode="_(&quot;$&quot;\ * #,##0.00_);_(&quot;$&quot;\ * \(#,##0.00\);_(&quot;$&quot;\ * &quot;-&quot;??_);_(@_)"/>
    <numFmt numFmtId="166" formatCode="_(* #,##0.00_);_(* \(#,##0.00\);_(* &quot;-&quot;??_);_(@_)"/>
    <numFmt numFmtId="167" formatCode="_(&quot;$&quot;* #,##0.00_);_(&quot;$&quot;* \(#,##0.00\);_(&quot;$&quot;* &quot;-&quot;??_);_(@_)"/>
    <numFmt numFmtId="168" formatCode="_-* #,##0.00\ &quot;Pts&quot;_-;\-* #,##0.00\ &quot;Pts&quot;_-;_-* &quot;-&quot;??\ &quot;Pts&quot;_-;_-@_-"/>
    <numFmt numFmtId="169" formatCode="_-* #,##0.00\ _P_t_s_-;\-* #,##0.00\ _P_t_s_-;_-* &quot;-&quot;??\ _P_t_s_-;_-@_-"/>
    <numFmt numFmtId="170" formatCode="#,##0.0"/>
    <numFmt numFmtId="171" formatCode="#,##0.00;[Red]#,##0.00"/>
    <numFmt numFmtId="172" formatCode="&quot;NN&quot;\ 0"/>
    <numFmt numFmtId="173" formatCode="&quot;VALOR PARA EL CONTRATO=$&quot;\ #,##0.00"/>
    <numFmt numFmtId="174" formatCode="#,##0&quot;º&quot;"/>
    <numFmt numFmtId="175" formatCode="0.0000000"/>
    <numFmt numFmtId="176" formatCode="_ [$€-2]\ * #,##0.00_ ;_ [$€-2]\ * \-#,##0.00_ ;_ [$€-2]\ * &quot;-&quot;??_ "/>
    <numFmt numFmtId="177" formatCode="_(* #,##0_);_(* \(#,##0\);_(* &quot;-&quot;??_);_(@_)"/>
    <numFmt numFmtId="178" formatCode="0.0000E+00"/>
    <numFmt numFmtId="179" formatCode="_([$$-240A]\ * #,##0.00_);_([$$-240A]\ * \(#,##0.00\);_([$$-240A]\ * &quot;-&quot;??_);_(@_)"/>
    <numFmt numFmtId="180" formatCode="0.000000000000000E+00"/>
    <numFmt numFmtId="181" formatCode="_-* #,##0\ _P_t_s_-;\-* #,##0\ _P_t_s_-;_-* &quot;-&quot;??\ _P_t_s_-;_-@_-"/>
    <numFmt numFmtId="182" formatCode="0.0000000000000"/>
    <numFmt numFmtId="183" formatCode="0.000000000000E+00"/>
    <numFmt numFmtId="184" formatCode="0.000E+00"/>
    <numFmt numFmtId="185" formatCode="##0"/>
    <numFmt numFmtId="186" formatCode="0.000"/>
    <numFmt numFmtId="187" formatCode="0.0000"/>
    <numFmt numFmtId="188" formatCode="0.00%;\-0.00%;&quot;&quot;"/>
    <numFmt numFmtId="189" formatCode="&quot;$&quot;#,##0\ ;\(&quot;$&quot;#,##0\)"/>
    <numFmt numFmtId="190" formatCode="\(0%\)"/>
    <numFmt numFmtId="191" formatCode="d\ \d\e\ mmmm\ \d\e\ yyyy"/>
    <numFmt numFmtId="192" formatCode="000\°00&quot;´&quot;00&quot;´´&quot;"/>
    <numFmt numFmtId="193" formatCode="0%;\-0%;&quot;&quot;"/>
    <numFmt numFmtId="194" formatCode="#0&quot;.&quot;000&quot;´&quot;000&quot;.&quot;000"/>
    <numFmt numFmtId="195" formatCode="##0&quot;.&quot;000"/>
    <numFmt numFmtId="196" formatCode="&quot;$&quot;\ #,##0.00"/>
    <numFmt numFmtId="197" formatCode="#,##0.0000"/>
    <numFmt numFmtId="198" formatCode="_-* #,##0.00\ _€_-;\-* #,##0.00\ _€_-;_-* &quot;-&quot;??\ _€_-;_-@_-"/>
    <numFmt numFmtId="199" formatCode="_-* #,##0.00\ _P_t_a_-;\-* #,##0.00\ _P_t_a_-;_-* &quot;-&quot;??\ _P_t_a_-;_-@_-"/>
    <numFmt numFmtId="200" formatCode="_ * #,##0.00_ ;_ * \-#,##0.00_ ;_ * &quot;-&quot;??_ ;_ @_ "/>
    <numFmt numFmtId="201" formatCode="##0&quot;´&quot;000&quot;.&quot;000"/>
    <numFmt numFmtId="202" formatCode="[$$-240A]\ #,##0.00"/>
    <numFmt numFmtId="203" formatCode="_ &quot;$&quot;* #,##0.00_ ;_ &quot;$&quot;* \-#,##0.00_ ;_ &quot;$&quot;* &quot;-&quot;??_ ;_ @_ "/>
    <numFmt numFmtId="204" formatCode="#.##\ \K\g"/>
    <numFmt numFmtId="205" formatCode="_(* #,##0.0_);_(* \(#,##0.0\);_(* &quot;-&quot;??_);_(@_)"/>
    <numFmt numFmtId="206" formatCode="#0&quot;.&quot;"/>
    <numFmt numFmtId="207" formatCode="0.0%;\-0.0%;&quot;&quot;"/>
    <numFmt numFmtId="208" formatCode="_([$€]* #,##0.00_);_([$€]* \(#,##0.00\);_([$€]* &quot;-&quot;??_);_(@_)"/>
    <numFmt numFmtId="209" formatCode="&quot;$&quot;\ #,##0.00;&quot;$&quot;\ \-#,##0.00"/>
    <numFmt numFmtId="210" formatCode="0\+000"/>
    <numFmt numFmtId="211" formatCode="#,##0.0000000"/>
    <numFmt numFmtId="212" formatCode="0.0000%"/>
    <numFmt numFmtId="213" formatCode="0.000000000000000"/>
    <numFmt numFmtId="214" formatCode="0.000%"/>
  </numFmts>
  <fonts count="61"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s>
  <fills count="4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s>
  <borders count="126">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s>
  <cellStyleXfs count="229">
    <xf numFmtId="0" fontId="0" fillId="0" borderId="0"/>
    <xf numFmtId="0" fontId="23" fillId="0" borderId="0">
      <alignment vertical="top"/>
    </xf>
    <xf numFmtId="176" fontId="3" fillId="0" borderId="0" applyFont="0" applyFill="0" applyBorder="0" applyAlignment="0" applyProtection="0"/>
    <xf numFmtId="169" fontId="3"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6"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5" fontId="9" fillId="0" borderId="89">
      <alignment horizontal="right"/>
    </xf>
    <xf numFmtId="2" fontId="9" fillId="0" borderId="0"/>
    <xf numFmtId="186" fontId="9" fillId="0" borderId="0"/>
    <xf numFmtId="187" fontId="8" fillId="0" borderId="0"/>
    <xf numFmtId="185" fontId="9" fillId="0" borderId="89">
      <alignment horizontal="right"/>
    </xf>
    <xf numFmtId="181"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8" fontId="3" fillId="0" borderId="0">
      <protection locked="0"/>
    </xf>
    <xf numFmtId="189" fontId="38" fillId="0" borderId="0" applyFont="0" applyFill="0" applyBorder="0" applyAlignment="0" applyProtection="0"/>
    <xf numFmtId="190"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91" fontId="3" fillId="0" borderId="0">
      <protection locked="0"/>
    </xf>
    <xf numFmtId="0" fontId="44" fillId="13" borderId="0" applyNumberFormat="0" applyBorder="0" applyAlignment="0" applyProtection="0"/>
    <xf numFmtId="192"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93" fontId="3" fillId="0" borderId="0">
      <protection locked="0"/>
    </xf>
    <xf numFmtId="193"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4" fontId="9" fillId="0" borderId="0">
      <alignment horizontal="right"/>
    </xf>
    <xf numFmtId="195" fontId="9" fillId="0" borderId="0" applyFont="0" applyFill="0" applyBorder="0" applyAlignment="0">
      <alignment horizontal="center"/>
    </xf>
    <xf numFmtId="164" fontId="2"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5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9"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96" fontId="3" fillId="0" borderId="0" applyFont="0" applyFill="0" applyBorder="0" applyAlignment="0" applyProtection="0"/>
    <xf numFmtId="166" fontId="2"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201" fontId="9" fillId="0" borderId="0">
      <alignment horizontal="right"/>
    </xf>
    <xf numFmtId="202" fontId="9" fillId="0" borderId="55"/>
    <xf numFmtId="203" fontId="3" fillId="0" borderId="0"/>
    <xf numFmtId="204" fontId="3" fillId="0" borderId="0" applyFont="0" applyFill="0" applyBorder="0" applyAlignment="0" applyProtection="0"/>
    <xf numFmtId="204" fontId="3" fillId="0" borderId="0" applyFont="0" applyFill="0" applyBorder="0" applyAlignment="0" applyProtection="0"/>
    <xf numFmtId="165" fontId="33" fillId="0" borderId="0" applyFont="0" applyFill="0" applyBorder="0" applyAlignment="0" applyProtection="0"/>
    <xf numFmtId="205" fontId="3" fillId="0" borderId="0" applyFont="0" applyFill="0" applyBorder="0" applyAlignment="0" applyProtection="0"/>
    <xf numFmtId="165" fontId="3" fillId="0" borderId="0" applyFont="0" applyFill="0" applyBorder="0" applyAlignment="0" applyProtection="0"/>
    <xf numFmtId="206"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2" fillId="0" borderId="0" applyFont="0" applyFill="0" applyBorder="0" applyAlignment="0" applyProtection="0"/>
    <xf numFmtId="0" fontId="3" fillId="0" borderId="0"/>
    <xf numFmtId="166"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7"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165" fontId="2" fillId="0" borderId="0" applyFont="0" applyFill="0" applyBorder="0" applyAlignment="0" applyProtection="0"/>
    <xf numFmtId="208" fontId="3" fillId="0" borderId="0" applyFont="0" applyFill="0" applyBorder="0" applyAlignment="0" applyProtection="0"/>
    <xf numFmtId="166" fontId="2" fillId="0" borderId="0" applyFont="0" applyFill="0" applyBorder="0" applyAlignment="0" applyProtection="0"/>
    <xf numFmtId="164" fontId="3" fillId="0" borderId="0" applyFont="0" applyFill="0" applyBorder="0" applyAlignment="0" applyProtection="0"/>
    <xf numFmtId="166" fontId="2" fillId="0" borderId="0" applyFont="0" applyFill="0" applyBorder="0" applyAlignment="0" applyProtection="0"/>
    <xf numFmtId="200"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5" fontId="2" fillId="0" borderId="0" applyFont="0" applyFill="0" applyBorder="0" applyAlignment="0" applyProtection="0"/>
    <xf numFmtId="210" fontId="3" fillId="0" borderId="0" applyFont="0" applyFill="0" applyBorder="0" applyAlignment="0" applyProtection="0"/>
    <xf numFmtId="0" fontId="33" fillId="0" borderId="0"/>
    <xf numFmtId="165" fontId="2" fillId="0" borderId="0" applyFont="0" applyFill="0" applyBorder="0" applyAlignment="0" applyProtection="0"/>
    <xf numFmtId="166" fontId="2" fillId="0" borderId="0" applyFont="0" applyFill="0" applyBorder="0" applyAlignment="0" applyProtection="0"/>
    <xf numFmtId="0" fontId="2" fillId="0" borderId="0"/>
    <xf numFmtId="209"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cellStyleXfs>
  <cellXfs count="425">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71"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9"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7" fontId="6" fillId="0" borderId="49" xfId="6" applyNumberFormat="1" applyFont="1" applyFill="1" applyBorder="1" applyAlignment="1" applyProtection="1">
      <alignment vertical="center"/>
      <protection locked="0"/>
    </xf>
    <xf numFmtId="166" fontId="6" fillId="0" borderId="61" xfId="6" applyNumberFormat="1" applyFont="1" applyFill="1" applyBorder="1" applyAlignment="1" applyProtection="1">
      <alignment vertical="center"/>
      <protection locked="0"/>
    </xf>
    <xf numFmtId="179" fontId="6" fillId="2" borderId="55" xfId="7" applyNumberFormat="1" applyFont="1" applyFill="1" applyBorder="1" applyAlignment="1"/>
    <xf numFmtId="179" fontId="6" fillId="2" borderId="49" xfId="7" applyNumberFormat="1" applyFont="1" applyFill="1" applyBorder="1" applyAlignment="1"/>
    <xf numFmtId="180" fontId="6" fillId="2" borderId="55" xfId="7" applyNumberFormat="1" applyFont="1" applyFill="1" applyBorder="1" applyAlignment="1"/>
    <xf numFmtId="179"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9" fontId="6" fillId="0" borderId="65" xfId="3" applyFont="1" applyFill="1" applyBorder="1" applyAlignment="1" applyProtection="1">
      <alignment horizontal="center" vertical="center" wrapText="1"/>
    </xf>
    <xf numFmtId="181"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9"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70"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8" fontId="8" fillId="0" borderId="69" xfId="0" applyNumberFormat="1" applyFont="1" applyBorder="1" applyAlignment="1" applyProtection="1">
      <alignment horizontal="center" vertical="center"/>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174"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80" fontId="0" fillId="0" borderId="0" xfId="0" applyNumberFormat="1"/>
    <xf numFmtId="179" fontId="0" fillId="0" borderId="0" xfId="7" applyNumberFormat="1" applyFont="1"/>
    <xf numFmtId="1" fontId="7" fillId="0" borderId="33" xfId="0" applyNumberFormat="1" applyFont="1" applyFill="1" applyBorder="1" applyAlignment="1" applyProtection="1">
      <alignment horizontal="center" vertical="center"/>
      <protection hidden="1"/>
    </xf>
    <xf numFmtId="1" fontId="7" fillId="0" borderId="34" xfId="0" applyNumberFormat="1" applyFont="1" applyFill="1" applyBorder="1" applyAlignment="1" applyProtection="1">
      <alignment horizontal="center" vertical="center"/>
      <protection hidden="1"/>
    </xf>
    <xf numFmtId="3" fontId="7" fillId="0" borderId="34" xfId="0" applyNumberFormat="1" applyFont="1" applyBorder="1" applyAlignment="1">
      <alignment horizontal="center" vertical="center"/>
    </xf>
    <xf numFmtId="0" fontId="7" fillId="0" borderId="34" xfId="0" applyFont="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4" fontId="3" fillId="0" borderId="49" xfId="7" applyNumberFormat="1" applyFont="1" applyFill="1" applyBorder="1" applyAlignment="1" applyProtection="1">
      <alignment vertical="center"/>
      <protection locked="0"/>
    </xf>
    <xf numFmtId="171"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71"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4"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4"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9"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9"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0" fontId="10" fillId="0" borderId="9" xfId="0" applyFont="1" applyBorder="1" applyProtection="1">
      <protection hidden="1"/>
    </xf>
    <xf numFmtId="170"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11" fontId="4" fillId="0" borderId="35" xfId="0" applyNumberFormat="1" applyFont="1" applyFill="1" applyBorder="1" applyAlignment="1" applyProtection="1">
      <alignment horizontal="right" vertical="center"/>
      <protection hidden="1"/>
    </xf>
    <xf numFmtId="211" fontId="6" fillId="0" borderId="49" xfId="12" applyNumberFormat="1" applyFont="1" applyFill="1" applyBorder="1" applyAlignment="1">
      <alignment horizontal="center" vertical="center" wrapText="1"/>
    </xf>
    <xf numFmtId="211"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71" fontId="19" fillId="0" borderId="0" xfId="0" applyNumberFormat="1" applyFont="1" applyFill="1" applyAlignment="1" applyProtection="1">
      <protection hidden="1"/>
    </xf>
    <xf numFmtId="171" fontId="3" fillId="0" borderId="0" xfId="0" applyNumberFormat="1" applyFont="1" applyFill="1" applyAlignment="1" applyProtection="1">
      <protection hidden="1"/>
    </xf>
    <xf numFmtId="171"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82"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83" fontId="58" fillId="2" borderId="0" xfId="12" applyNumberFormat="1" applyFont="1" applyFill="1" applyAlignment="1">
      <alignment horizontal="center" vertical="center"/>
    </xf>
    <xf numFmtId="183" fontId="58" fillId="2" borderId="0" xfId="12" applyNumberFormat="1" applyFont="1" applyFill="1"/>
    <xf numFmtId="213" fontId="3" fillId="2" borderId="0" xfId="12" applyNumberFormat="1" applyFont="1" applyFill="1" applyAlignment="1">
      <alignment horizontal="center" vertical="center"/>
    </xf>
    <xf numFmtId="0" fontId="0" fillId="44" borderId="0" xfId="0" applyFill="1"/>
    <xf numFmtId="212" fontId="6" fillId="2" borderId="63" xfId="12" applyNumberFormat="1" applyFont="1" applyFill="1" applyBorder="1" applyAlignment="1">
      <alignment horizontal="center" vertical="center" wrapText="1"/>
    </xf>
    <xf numFmtId="212" fontId="6" fillId="2" borderId="34" xfId="12" applyNumberFormat="1" applyFont="1" applyFill="1" applyBorder="1" applyAlignment="1">
      <alignment horizontal="center" vertical="center" wrapText="1"/>
    </xf>
    <xf numFmtId="212"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7" fillId="0" borderId="112" xfId="0" applyFont="1" applyBorder="1" applyAlignment="1" applyProtection="1">
      <alignment horizontal="center" vertical="center"/>
      <protection hidden="1"/>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181" fontId="10" fillId="0" borderId="0" xfId="3" applyNumberFormat="1" applyFont="1" applyAlignment="1" applyProtection="1">
      <alignment horizontal="center" vertical="center"/>
      <protection hidden="1"/>
    </xf>
    <xf numFmtId="182" fontId="58" fillId="2" borderId="0" xfId="12" applyNumberFormat="1" applyFont="1" applyFill="1" applyAlignment="1">
      <alignment horizontal="right" vertical="center"/>
    </xf>
    <xf numFmtId="169" fontId="58" fillId="2" borderId="0" xfId="3" applyFont="1" applyFill="1" applyAlignment="1">
      <alignment horizontal="center" vertical="center"/>
    </xf>
    <xf numFmtId="0" fontId="10" fillId="0" borderId="114"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72" fontId="7" fillId="0" borderId="34" xfId="0" applyNumberFormat="1" applyFont="1" applyFill="1" applyBorder="1" applyAlignment="1" applyProtection="1">
      <alignment horizontal="center" vertical="center" wrapText="1"/>
      <protection locked="0"/>
    </xf>
    <xf numFmtId="171" fontId="3" fillId="0" borderId="119"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11" fontId="8" fillId="0" borderId="35" xfId="0" applyNumberFormat="1" applyFont="1" applyBorder="1" applyAlignment="1" applyProtection="1">
      <alignment horizontal="center" vertical="center"/>
      <protection hidden="1"/>
    </xf>
    <xf numFmtId="0" fontId="6" fillId="45" borderId="13" xfId="0" applyFont="1" applyFill="1" applyBorder="1" applyAlignment="1" applyProtection="1">
      <alignment horizontal="center" vertical="center" wrapText="1"/>
      <protection locked="0"/>
    </xf>
    <xf numFmtId="0" fontId="6" fillId="45" borderId="115"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1" xfId="0" applyFont="1" applyFill="1" applyBorder="1" applyAlignment="1" applyProtection="1">
      <alignment horizontal="center" vertical="center" wrapText="1"/>
      <protection hidden="1"/>
    </xf>
    <xf numFmtId="0" fontId="10" fillId="0" borderId="122" xfId="0" applyFont="1" applyBorder="1" applyAlignment="1" applyProtection="1">
      <alignment horizontal="center"/>
      <protection hidden="1"/>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7"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3" fontId="3" fillId="0" borderId="34" xfId="0" applyNumberFormat="1" applyFont="1" applyFill="1" applyBorder="1" applyAlignment="1" applyProtection="1">
      <alignment horizontal="right" vertical="center"/>
      <protection locked="0"/>
    </xf>
    <xf numFmtId="3" fontId="6" fillId="10" borderId="5" xfId="0" applyNumberFormat="1" applyFont="1" applyFill="1" applyBorder="1" applyAlignment="1" applyProtection="1">
      <alignment horizontal="centerContinuous" vertical="center" wrapText="1"/>
      <protection locked="0"/>
    </xf>
    <xf numFmtId="3" fontId="3" fillId="0" borderId="48" xfId="0" applyNumberFormat="1" applyFont="1" applyFill="1" applyBorder="1" applyAlignment="1" applyProtection="1">
      <alignment horizontal="right" vertical="center"/>
      <protection locked="0"/>
    </xf>
    <xf numFmtId="3" fontId="6" fillId="10" borderId="62" xfId="0" applyNumberFormat="1" applyFont="1" applyFill="1" applyBorder="1" applyAlignment="1" applyProtection="1">
      <alignment horizontal="centerContinuous" vertical="center" wrapText="1"/>
      <protection locked="0"/>
    </xf>
    <xf numFmtId="3" fontId="3" fillId="0" borderId="118" xfId="0"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4"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9"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105"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3" fillId="0" borderId="34" xfId="0" applyFont="1" applyFill="1" applyBorder="1" applyAlignment="1" applyProtection="1">
      <alignment horizontal="justify" vertical="center" wrapText="1"/>
      <protection locked="0"/>
    </xf>
    <xf numFmtId="0" fontId="3" fillId="0" borderId="123"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justify" vertical="center" wrapText="1"/>
      <protection locked="0"/>
    </xf>
    <xf numFmtId="3" fontId="3" fillId="0" borderId="124" xfId="0" applyNumberFormat="1" applyFont="1" applyFill="1" applyBorder="1" applyAlignment="1" applyProtection="1">
      <alignment horizontal="right" vertical="center"/>
      <protection locked="0"/>
    </xf>
    <xf numFmtId="4" fontId="3" fillId="0" borderId="125" xfId="7" applyNumberFormat="1" applyFont="1" applyFill="1" applyBorder="1" applyAlignment="1" applyProtection="1">
      <alignment vertical="center"/>
      <protection locked="0"/>
    </xf>
    <xf numFmtId="0" fontId="6" fillId="46" borderId="50" xfId="0" applyFont="1" applyFill="1" applyBorder="1" applyAlignment="1" applyProtection="1">
      <alignment horizontal="right" vertical="center"/>
      <protection locked="0"/>
    </xf>
    <xf numFmtId="0" fontId="6" fillId="46" borderId="51" xfId="0" applyFont="1" applyFill="1" applyBorder="1" applyAlignment="1" applyProtection="1">
      <alignment horizontal="right" vertical="center"/>
      <protection locked="0"/>
    </xf>
    <xf numFmtId="0" fontId="6" fillId="46" borderId="51" xfId="0" quotePrefix="1" applyFont="1" applyFill="1" applyBorder="1" applyAlignment="1" applyProtection="1">
      <alignment horizontal="right" vertical="center"/>
      <protection locked="0"/>
    </xf>
    <xf numFmtId="4" fontId="6" fillId="46" borderId="51" xfId="0" applyNumberFormat="1" applyFont="1" applyFill="1" applyBorder="1" applyAlignment="1" applyProtection="1">
      <alignment horizontal="right" vertical="center"/>
      <protection locked="0"/>
    </xf>
    <xf numFmtId="4" fontId="6" fillId="46" borderId="52" xfId="7" applyNumberFormat="1" applyFont="1" applyFill="1" applyBorder="1" applyAlignment="1" applyProtection="1">
      <alignment horizontal="right" vertical="center"/>
      <protection locked="0"/>
    </xf>
    <xf numFmtId="171" fontId="3" fillId="43" borderId="34" xfId="0" applyNumberFormat="1" applyFont="1" applyFill="1" applyBorder="1" applyAlignment="1" applyProtection="1">
      <alignment horizontal="right" vertical="center"/>
      <protection locked="0"/>
    </xf>
    <xf numFmtId="171" fontId="3" fillId="43" borderId="119" xfId="0" applyNumberFormat="1" applyFont="1" applyFill="1" applyBorder="1" applyAlignment="1" applyProtection="1">
      <alignment horizontal="right" vertical="center"/>
      <protection locked="0"/>
    </xf>
    <xf numFmtId="3" fontId="3" fillId="43" borderId="48" xfId="0" applyNumberFormat="1" applyFont="1" applyFill="1" applyBorder="1" applyAlignment="1" applyProtection="1">
      <alignment horizontal="right" vertical="center"/>
      <protection locked="0"/>
    </xf>
    <xf numFmtId="1" fontId="4" fillId="0" borderId="0" xfId="12" applyNumberFormat="1" applyFont="1" applyAlignment="1">
      <alignment horizontal="center" vertical="center" wrapText="1"/>
    </xf>
    <xf numFmtId="1" fontId="6" fillId="0" borderId="0" xfId="12" applyNumberFormat="1" applyFont="1" applyAlignment="1">
      <alignment horizontal="center" vertical="center" wrapText="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6"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0" xfId="0" applyFont="1" applyFill="1" applyBorder="1" applyAlignment="1" applyProtection="1">
      <alignment horizontal="center" vertical="center" wrapText="1"/>
      <protection locked="0"/>
    </xf>
    <xf numFmtId="3" fontId="5" fillId="0" borderId="80" xfId="0" applyNumberFormat="1"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6" fillId="0" borderId="0" xfId="12" applyFont="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9" fontId="15" fillId="45" borderId="44" xfId="7" applyNumberFormat="1" applyFont="1" applyFill="1" applyBorder="1" applyAlignment="1">
      <alignment horizontal="center" vertical="center" wrapText="1"/>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5" fontId="10" fillId="0" borderId="0" xfId="0" applyNumberFormat="1" applyFont="1" applyProtection="1">
      <protection hidden="1"/>
    </xf>
    <xf numFmtId="0" fontId="21"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73" fontId="59" fillId="45" borderId="70" xfId="0" applyNumberFormat="1" applyFont="1" applyFill="1" applyBorder="1" applyAlignment="1" applyProtection="1">
      <alignment horizontal="center" vertical="center"/>
      <protection hidden="1"/>
    </xf>
    <xf numFmtId="173" fontId="59" fillId="45" borderId="60" xfId="0" applyNumberFormat="1" applyFont="1" applyFill="1" applyBorder="1" applyAlignment="1" applyProtection="1">
      <alignment horizontal="center" vertical="center"/>
      <protection hidden="1"/>
    </xf>
    <xf numFmtId="173" fontId="59" fillId="45" borderId="105" xfId="0" applyNumberFormat="1" applyFont="1" applyFill="1" applyBorder="1" applyAlignment="1" applyProtection="1">
      <alignment horizontal="center" vertical="center"/>
      <protection hidden="1"/>
    </xf>
    <xf numFmtId="173"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cellXfs>
  <cellStyles count="229">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186">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L41"/>
  <sheetViews>
    <sheetView showGridLines="0" topLeftCell="A19" zoomScale="110" zoomScaleNormal="110" workbookViewId="0">
      <selection activeCell="D34" sqref="D34"/>
    </sheetView>
  </sheetViews>
  <sheetFormatPr baseColWidth="10" defaultColWidth="11.42578125" defaultRowHeight="12.75" x14ac:dyDescent="0.2"/>
  <cols>
    <col min="1" max="1" width="3" style="2" customWidth="1"/>
    <col min="2" max="2" width="15.140625" style="2" customWidth="1"/>
    <col min="3" max="3" width="15.5703125" style="2" customWidth="1"/>
    <col min="4" max="4" width="58.140625" style="2" customWidth="1"/>
    <col min="5" max="5" width="15.7109375" style="2" customWidth="1"/>
    <col min="6" max="6" width="13.5703125" style="17" hidden="1" customWidth="1"/>
    <col min="7" max="7" width="26.5703125" style="17" customWidth="1"/>
    <col min="8" max="8" width="18.85546875" style="17" hidden="1" customWidth="1"/>
    <col min="9" max="9" width="2.140625" style="17" hidden="1" customWidth="1"/>
    <col min="10" max="16384" width="11.42578125" style="2"/>
  </cols>
  <sheetData>
    <row r="1" spans="1:12" s="33" customFormat="1" ht="20.100000000000001" customHeight="1" x14ac:dyDescent="0.25">
      <c r="B1" s="312" t="s">
        <v>101</v>
      </c>
      <c r="C1" s="312"/>
      <c r="D1" s="312"/>
      <c r="E1" s="312"/>
      <c r="F1" s="312"/>
      <c r="G1" s="312"/>
      <c r="H1" s="312"/>
      <c r="I1" s="312"/>
    </row>
    <row r="2" spans="1:12" s="33" customFormat="1" ht="20.100000000000001" customHeight="1" x14ac:dyDescent="0.25">
      <c r="B2" s="313"/>
      <c r="C2" s="313"/>
      <c r="D2" s="313"/>
      <c r="E2" s="313"/>
      <c r="F2" s="313"/>
      <c r="G2" s="313"/>
      <c r="H2" s="313"/>
      <c r="I2" s="313"/>
    </row>
    <row r="3" spans="1:12" s="33" customFormat="1" ht="20.100000000000001" customHeight="1" x14ac:dyDescent="0.25">
      <c r="B3" s="313" t="s">
        <v>102</v>
      </c>
      <c r="C3" s="313"/>
      <c r="D3" s="313"/>
      <c r="E3" s="313"/>
      <c r="F3" s="313"/>
      <c r="G3" s="313"/>
      <c r="H3" s="313"/>
      <c r="I3" s="313"/>
    </row>
    <row r="4" spans="1:12" s="33" customFormat="1" ht="18" x14ac:dyDescent="0.25">
      <c r="B4" s="313"/>
      <c r="C4" s="313"/>
      <c r="D4" s="313"/>
      <c r="E4" s="313"/>
      <c r="F4" s="313"/>
      <c r="G4" s="313"/>
      <c r="H4" s="313"/>
      <c r="I4" s="313"/>
    </row>
    <row r="5" spans="1:12" s="33" customFormat="1" ht="25.5" customHeight="1" x14ac:dyDescent="0.25">
      <c r="A5" s="38"/>
      <c r="B5" s="313" t="s">
        <v>114</v>
      </c>
      <c r="C5" s="313"/>
      <c r="D5" s="313"/>
      <c r="E5" s="313"/>
      <c r="F5" s="313"/>
      <c r="G5" s="313"/>
      <c r="H5" s="313"/>
      <c r="I5" s="313"/>
    </row>
    <row r="6" spans="1:12" s="33" customFormat="1" ht="18.75" x14ac:dyDescent="0.25">
      <c r="A6" s="38"/>
      <c r="B6" s="242"/>
      <c r="C6" s="242"/>
      <c r="D6" s="243"/>
      <c r="E6" s="243"/>
      <c r="F6" s="243"/>
      <c r="G6" s="243"/>
      <c r="H6" s="243"/>
      <c r="I6" s="243"/>
    </row>
    <row r="7" spans="1:12" s="33" customFormat="1" ht="46.5" customHeight="1" x14ac:dyDescent="0.25">
      <c r="A7" s="38"/>
      <c r="B7" s="313" t="s">
        <v>135</v>
      </c>
      <c r="C7" s="313"/>
      <c r="D7" s="313"/>
      <c r="E7" s="313"/>
      <c r="F7" s="313"/>
      <c r="G7" s="313"/>
      <c r="H7" s="313"/>
      <c r="I7" s="313"/>
    </row>
    <row r="8" spans="1:12" s="33" customFormat="1" ht="18.75" x14ac:dyDescent="0.25">
      <c r="A8" s="38"/>
      <c r="B8" s="49"/>
      <c r="C8" s="49"/>
      <c r="D8" s="48"/>
      <c r="E8" s="48"/>
      <c r="F8" s="48"/>
      <c r="G8" s="48"/>
      <c r="H8" s="48"/>
      <c r="I8" s="48"/>
    </row>
    <row r="9" spans="1:12" s="33" customFormat="1" ht="18.75" x14ac:dyDescent="0.25">
      <c r="A9" s="38"/>
      <c r="B9" s="49"/>
      <c r="C9" s="49"/>
      <c r="D9" s="48"/>
      <c r="E9" s="48"/>
      <c r="F9" s="48"/>
      <c r="G9" s="48"/>
      <c r="H9" s="48"/>
      <c r="I9" s="48"/>
    </row>
    <row r="10" spans="1:12" ht="13.5" customHeight="1" x14ac:dyDescent="0.2">
      <c r="B10" s="330" t="s">
        <v>21</v>
      </c>
      <c r="C10" s="330"/>
      <c r="D10" s="330"/>
      <c r="E10" s="330"/>
      <c r="F10" s="330"/>
      <c r="G10" s="330"/>
      <c r="H10" s="330"/>
      <c r="I10" s="330"/>
      <c r="L10" s="40"/>
    </row>
    <row r="11" spans="1:12" ht="13.5" customHeight="1" thickBot="1" x14ac:dyDescent="0.25">
      <c r="B11" s="331" t="s">
        <v>15</v>
      </c>
      <c r="C11" s="331"/>
      <c r="D11" s="331"/>
      <c r="E11" s="331"/>
      <c r="F11" s="331"/>
      <c r="G11" s="331"/>
      <c r="H11" s="331"/>
      <c r="I11" s="331"/>
    </row>
    <row r="12" spans="1:12" ht="45" customHeight="1" thickTop="1" x14ac:dyDescent="0.2">
      <c r="B12" s="324" t="s">
        <v>36</v>
      </c>
      <c r="C12" s="326" t="s">
        <v>78</v>
      </c>
      <c r="D12" s="322" t="s">
        <v>79</v>
      </c>
      <c r="E12" s="326" t="s">
        <v>16</v>
      </c>
      <c r="F12" s="332" t="s">
        <v>17</v>
      </c>
      <c r="G12" s="333"/>
      <c r="H12" s="246"/>
      <c r="I12" s="328"/>
    </row>
    <row r="13" spans="1:12" ht="59.25" customHeight="1" thickBot="1" x14ac:dyDescent="0.25">
      <c r="B13" s="325"/>
      <c r="C13" s="327"/>
      <c r="D13" s="323"/>
      <c r="E13" s="327"/>
      <c r="F13" s="245"/>
      <c r="G13" s="248" t="s">
        <v>73</v>
      </c>
      <c r="H13" s="247"/>
      <c r="I13" s="329"/>
    </row>
    <row r="14" spans="1:12" ht="4.5" customHeight="1" x14ac:dyDescent="0.2">
      <c r="B14" s="51"/>
      <c r="C14" s="77"/>
      <c r="D14" s="52"/>
      <c r="E14" s="52"/>
      <c r="F14" s="237"/>
      <c r="G14" s="249"/>
      <c r="H14" s="237"/>
      <c r="I14" s="60"/>
      <c r="J14" s="190"/>
    </row>
    <row r="15" spans="1:12" x14ac:dyDescent="0.2">
      <c r="B15" s="151">
        <v>1</v>
      </c>
      <c r="C15" s="152">
        <v>1</v>
      </c>
      <c r="D15" s="239" t="s">
        <v>177</v>
      </c>
      <c r="E15" s="153" t="s">
        <v>8</v>
      </c>
      <c r="F15" s="154"/>
      <c r="G15" s="154">
        <v>100</v>
      </c>
      <c r="H15" s="223"/>
      <c r="I15" s="154"/>
      <c r="J15" s="190"/>
    </row>
    <row r="16" spans="1:12" x14ac:dyDescent="0.2">
      <c r="B16" s="151">
        <v>2</v>
      </c>
      <c r="C16" s="152">
        <v>3</v>
      </c>
      <c r="D16" s="239" t="s">
        <v>178</v>
      </c>
      <c r="E16" s="153" t="s">
        <v>8</v>
      </c>
      <c r="F16" s="154"/>
      <c r="G16" s="154">
        <v>100</v>
      </c>
      <c r="H16" s="223"/>
      <c r="I16" s="154"/>
      <c r="J16" s="190"/>
    </row>
    <row r="17" spans="2:10" x14ac:dyDescent="0.2">
      <c r="B17" s="151">
        <v>3</v>
      </c>
      <c r="C17" s="152">
        <v>4</v>
      </c>
      <c r="D17" s="239" t="s">
        <v>179</v>
      </c>
      <c r="E17" s="153" t="s">
        <v>8</v>
      </c>
      <c r="F17" s="154"/>
      <c r="G17" s="154">
        <v>100</v>
      </c>
      <c r="H17" s="223"/>
      <c r="I17" s="154"/>
      <c r="J17" s="190"/>
    </row>
    <row r="18" spans="2:10" x14ac:dyDescent="0.2">
      <c r="B18" s="151">
        <v>4</v>
      </c>
      <c r="C18" s="152">
        <v>5</v>
      </c>
      <c r="D18" s="239" t="s">
        <v>180</v>
      </c>
      <c r="E18" s="153" t="s">
        <v>8</v>
      </c>
      <c r="F18" s="154"/>
      <c r="G18" s="154">
        <v>100</v>
      </c>
      <c r="H18" s="223"/>
      <c r="I18" s="154"/>
      <c r="J18" s="190"/>
    </row>
    <row r="19" spans="2:10" x14ac:dyDescent="0.2">
      <c r="B19" s="151">
        <v>5</v>
      </c>
      <c r="C19" s="152">
        <v>6</v>
      </c>
      <c r="D19" s="239" t="s">
        <v>181</v>
      </c>
      <c r="E19" s="153" t="s">
        <v>8</v>
      </c>
      <c r="F19" s="154"/>
      <c r="G19" s="154">
        <v>100</v>
      </c>
      <c r="H19" s="223"/>
      <c r="I19" s="154"/>
      <c r="J19" s="190"/>
    </row>
    <row r="20" spans="2:10" x14ac:dyDescent="0.2">
      <c r="B20" s="151">
        <v>6</v>
      </c>
      <c r="C20" s="152">
        <v>7</v>
      </c>
      <c r="D20" s="239" t="s">
        <v>182</v>
      </c>
      <c r="E20" s="153" t="s">
        <v>8</v>
      </c>
      <c r="F20" s="154"/>
      <c r="G20" s="154">
        <v>100</v>
      </c>
      <c r="H20" s="223"/>
      <c r="I20" s="154"/>
      <c r="J20" s="190"/>
    </row>
    <row r="21" spans="2:10" x14ac:dyDescent="0.2">
      <c r="B21" s="151">
        <v>7</v>
      </c>
      <c r="C21" s="152">
        <v>10</v>
      </c>
      <c r="D21" s="239" t="s">
        <v>183</v>
      </c>
      <c r="E21" s="153" t="s">
        <v>12</v>
      </c>
      <c r="F21" s="154"/>
      <c r="G21" s="154">
        <v>100</v>
      </c>
      <c r="H21" s="223"/>
      <c r="I21" s="154"/>
      <c r="J21" s="190"/>
    </row>
    <row r="22" spans="2:10" x14ac:dyDescent="0.2">
      <c r="B22" s="151">
        <v>8</v>
      </c>
      <c r="C22" s="152">
        <v>12</v>
      </c>
      <c r="D22" s="239" t="s">
        <v>184</v>
      </c>
      <c r="E22" s="153" t="s">
        <v>8</v>
      </c>
      <c r="F22" s="154"/>
      <c r="G22" s="154">
        <v>100</v>
      </c>
      <c r="H22" s="223"/>
      <c r="I22" s="154"/>
      <c r="J22" s="190"/>
    </row>
    <row r="23" spans="2:10" x14ac:dyDescent="0.2">
      <c r="B23" s="151">
        <v>9</v>
      </c>
      <c r="C23" s="152">
        <v>13</v>
      </c>
      <c r="D23" s="239" t="s">
        <v>185</v>
      </c>
      <c r="E23" s="153" t="s">
        <v>12</v>
      </c>
      <c r="F23" s="154"/>
      <c r="G23" s="154">
        <v>100</v>
      </c>
      <c r="H23" s="223"/>
      <c r="I23" s="154"/>
      <c r="J23" s="190"/>
    </row>
    <row r="24" spans="2:10" x14ac:dyDescent="0.2">
      <c r="B24" s="151">
        <v>10</v>
      </c>
      <c r="C24" s="152">
        <v>17</v>
      </c>
      <c r="D24" s="239" t="s">
        <v>186</v>
      </c>
      <c r="E24" s="153" t="s">
        <v>12</v>
      </c>
      <c r="F24" s="154"/>
      <c r="G24" s="154">
        <v>100</v>
      </c>
      <c r="H24" s="223"/>
      <c r="I24" s="154"/>
      <c r="J24" s="190"/>
    </row>
    <row r="25" spans="2:10" x14ac:dyDescent="0.2">
      <c r="B25" s="151">
        <v>11</v>
      </c>
      <c r="C25" s="152">
        <v>18</v>
      </c>
      <c r="D25" s="239" t="s">
        <v>187</v>
      </c>
      <c r="E25" s="153" t="s">
        <v>12</v>
      </c>
      <c r="F25" s="154"/>
      <c r="G25" s="154">
        <v>100</v>
      </c>
      <c r="H25" s="223"/>
      <c r="I25" s="154"/>
      <c r="J25" s="190"/>
    </row>
    <row r="26" spans="2:10" x14ac:dyDescent="0.2">
      <c r="B26" s="151">
        <v>12</v>
      </c>
      <c r="C26" s="152">
        <v>20</v>
      </c>
      <c r="D26" s="239" t="s">
        <v>188</v>
      </c>
      <c r="E26" s="153" t="s">
        <v>8</v>
      </c>
      <c r="F26" s="154"/>
      <c r="G26" s="154">
        <v>100</v>
      </c>
      <c r="H26" s="223"/>
      <c r="I26" s="154"/>
      <c r="J26" s="190"/>
    </row>
    <row r="27" spans="2:10" x14ac:dyDescent="0.2">
      <c r="B27" s="151">
        <v>13</v>
      </c>
      <c r="C27" s="152">
        <v>21</v>
      </c>
      <c r="D27" s="239" t="s">
        <v>189</v>
      </c>
      <c r="E27" s="153" t="s">
        <v>8</v>
      </c>
      <c r="F27" s="154"/>
      <c r="G27" s="154">
        <v>100</v>
      </c>
      <c r="H27" s="223"/>
      <c r="I27" s="154"/>
      <c r="J27" s="190"/>
    </row>
    <row r="28" spans="2:10" x14ac:dyDescent="0.2">
      <c r="B28" s="151">
        <v>14</v>
      </c>
      <c r="C28" s="152">
        <v>23</v>
      </c>
      <c r="D28" s="239" t="s">
        <v>190</v>
      </c>
      <c r="E28" s="153" t="s">
        <v>8</v>
      </c>
      <c r="F28" s="154"/>
      <c r="G28" s="154">
        <v>100</v>
      </c>
      <c r="H28" s="223"/>
      <c r="I28" s="154"/>
      <c r="J28" s="190"/>
    </row>
    <row r="29" spans="2:10" x14ac:dyDescent="0.2">
      <c r="B29" s="151">
        <v>15</v>
      </c>
      <c r="C29" s="152">
        <v>24</v>
      </c>
      <c r="D29" s="239" t="s">
        <v>191</v>
      </c>
      <c r="E29" s="153" t="s">
        <v>8</v>
      </c>
      <c r="F29" s="154"/>
      <c r="G29" s="154">
        <v>100</v>
      </c>
      <c r="H29" s="223"/>
      <c r="I29" s="154"/>
      <c r="J29" s="190"/>
    </row>
    <row r="30" spans="2:10" x14ac:dyDescent="0.2">
      <c r="B30" s="151">
        <v>16</v>
      </c>
      <c r="C30" s="152">
        <v>25</v>
      </c>
      <c r="D30" s="239" t="s">
        <v>192</v>
      </c>
      <c r="E30" s="153" t="s">
        <v>8</v>
      </c>
      <c r="F30" s="154"/>
      <c r="G30" s="154">
        <v>100</v>
      </c>
      <c r="H30" s="223"/>
      <c r="I30" s="154"/>
      <c r="J30" s="190"/>
    </row>
    <row r="31" spans="2:10" x14ac:dyDescent="0.2">
      <c r="B31" s="151">
        <v>17</v>
      </c>
      <c r="C31" s="152">
        <v>27</v>
      </c>
      <c r="D31" s="239" t="s">
        <v>193</v>
      </c>
      <c r="E31" s="153" t="s">
        <v>7</v>
      </c>
      <c r="F31" s="154"/>
      <c r="G31" s="154">
        <v>100</v>
      </c>
      <c r="H31" s="223"/>
      <c r="I31" s="154"/>
      <c r="J31" s="190"/>
    </row>
    <row r="32" spans="2:10" x14ac:dyDescent="0.2">
      <c r="B32" s="151">
        <v>18</v>
      </c>
      <c r="C32" s="152">
        <v>29</v>
      </c>
      <c r="D32" s="239" t="s">
        <v>194</v>
      </c>
      <c r="E32" s="153" t="s">
        <v>12</v>
      </c>
      <c r="F32" s="154"/>
      <c r="G32" s="154">
        <v>100</v>
      </c>
      <c r="H32" s="223"/>
      <c r="I32" s="154"/>
      <c r="J32" s="190"/>
    </row>
    <row r="33" spans="2:10" x14ac:dyDescent="0.2">
      <c r="B33" s="151">
        <v>19</v>
      </c>
      <c r="C33" s="152">
        <v>30</v>
      </c>
      <c r="D33" s="239" t="s">
        <v>195</v>
      </c>
      <c r="E33" s="153" t="s">
        <v>8</v>
      </c>
      <c r="F33" s="154"/>
      <c r="G33" s="154">
        <v>100</v>
      </c>
      <c r="H33" s="223"/>
      <c r="I33" s="154"/>
      <c r="J33" s="190"/>
    </row>
    <row r="34" spans="2:10" x14ac:dyDescent="0.2">
      <c r="B34" s="151">
        <v>20</v>
      </c>
      <c r="C34" s="152">
        <v>31</v>
      </c>
      <c r="D34" s="239" t="s">
        <v>196</v>
      </c>
      <c r="E34" s="153" t="s">
        <v>8</v>
      </c>
      <c r="F34" s="154"/>
      <c r="G34" s="154">
        <v>100</v>
      </c>
      <c r="H34" s="223"/>
      <c r="I34" s="154"/>
      <c r="J34" s="190"/>
    </row>
    <row r="35" spans="2:10" x14ac:dyDescent="0.2">
      <c r="B35" s="151">
        <v>21</v>
      </c>
      <c r="C35" s="152">
        <v>33</v>
      </c>
      <c r="D35" s="239" t="s">
        <v>197</v>
      </c>
      <c r="E35" s="153" t="s">
        <v>8</v>
      </c>
      <c r="F35" s="154"/>
      <c r="G35" s="154">
        <v>100</v>
      </c>
      <c r="H35" s="223"/>
      <c r="I35" s="154"/>
      <c r="J35" s="190"/>
    </row>
    <row r="36" spans="2:10" ht="5.25" customHeight="1" thickBot="1" x14ac:dyDescent="0.25">
      <c r="B36" s="320"/>
      <c r="C36" s="321"/>
      <c r="D36" s="321"/>
      <c r="E36" s="321"/>
      <c r="F36" s="57"/>
      <c r="G36" s="57"/>
      <c r="H36" s="236"/>
      <c r="I36" s="57"/>
      <c r="J36" s="190"/>
    </row>
    <row r="37" spans="2:10" ht="13.5" thickTop="1" x14ac:dyDescent="0.2">
      <c r="B37" s="314" t="s">
        <v>18</v>
      </c>
      <c r="C37" s="315"/>
      <c r="D37" s="155" t="s">
        <v>8</v>
      </c>
      <c r="E37" s="53">
        <f>COUNTIF($E$15:$E$35,D37)</f>
        <v>15</v>
      </c>
      <c r="F37" s="71"/>
      <c r="G37" s="224"/>
      <c r="H37" s="72"/>
      <c r="I37" s="224"/>
    </row>
    <row r="38" spans="2:10" x14ac:dyDescent="0.2">
      <c r="B38" s="316"/>
      <c r="C38" s="317"/>
      <c r="D38" s="156" t="s">
        <v>7</v>
      </c>
      <c r="E38" s="54">
        <f>COUNTIF($E$15:$E$35,D38)</f>
        <v>1</v>
      </c>
      <c r="F38" s="56"/>
      <c r="G38" s="61"/>
      <c r="H38" s="57"/>
      <c r="I38" s="61"/>
    </row>
    <row r="39" spans="2:10" x14ac:dyDescent="0.2">
      <c r="B39" s="316"/>
      <c r="C39" s="317"/>
      <c r="D39" s="157" t="s">
        <v>12</v>
      </c>
      <c r="E39" s="78">
        <f>COUNTIF($E$15:$E$35,D39)</f>
        <v>5</v>
      </c>
      <c r="F39" s="56"/>
      <c r="G39" s="61"/>
      <c r="H39" s="57"/>
      <c r="I39" s="61"/>
    </row>
    <row r="40" spans="2:10" ht="13.5" thickBot="1" x14ac:dyDescent="0.25">
      <c r="B40" s="318"/>
      <c r="C40" s="319"/>
      <c r="D40" s="276" t="s">
        <v>38</v>
      </c>
      <c r="E40" s="55">
        <f>SUM(E37:E39)</f>
        <v>21</v>
      </c>
      <c r="F40" s="58"/>
      <c r="G40" s="225"/>
      <c r="H40" s="59"/>
      <c r="I40" s="225"/>
    </row>
    <row r="41" spans="2:10" ht="13.5" thickTop="1" x14ac:dyDescent="0.2"/>
  </sheetData>
  <sheetProtection selectLockedCells="1"/>
  <mergeCells count="16">
    <mergeCell ref="B37:C40"/>
    <mergeCell ref="B4:I4"/>
    <mergeCell ref="B36:E36"/>
    <mergeCell ref="D12:D13"/>
    <mergeCell ref="B12:B13"/>
    <mergeCell ref="E12:E13"/>
    <mergeCell ref="C12:C13"/>
    <mergeCell ref="I12:I13"/>
    <mergeCell ref="B10:I10"/>
    <mergeCell ref="B11:I11"/>
    <mergeCell ref="F12:G12"/>
    <mergeCell ref="B1:I1"/>
    <mergeCell ref="B2:I2"/>
    <mergeCell ref="B3:I3"/>
    <mergeCell ref="B5:I5"/>
    <mergeCell ref="B7:I7"/>
  </mergeCells>
  <phoneticPr fontId="0" type="noConversion"/>
  <conditionalFormatting sqref="B15:I35">
    <cfRule type="expression" dxfId="185" priority="28">
      <formula>MOD(ROW(),2)</formula>
    </cfRule>
  </conditionalFormatting>
  <conditionalFormatting sqref="E38">
    <cfRule type="cellIs" dxfId="184" priority="11" operator="greaterThan">
      <formula>0</formula>
    </cfRule>
  </conditionalFormatting>
  <conditionalFormatting sqref="E15:E35">
    <cfRule type="cellIs" dxfId="183" priority="8" operator="equal">
      <formula>"RECHAZO"</formula>
    </cfRule>
    <cfRule type="cellIs" dxfId="182" priority="9" operator="equal">
      <formula>"NO ADMISIBLE"</formula>
    </cfRule>
    <cfRule type="cellIs" dxfId="181" priority="10" operator="equal">
      <formula>"ADMISIBLE"</formula>
    </cfRule>
  </conditionalFormatting>
  <conditionalFormatting sqref="F15:H35">
    <cfRule type="cellIs" dxfId="180" priority="2" operator="equal">
      <formula>0</formula>
    </cfRule>
  </conditionalFormatting>
  <conditionalFormatting sqref="I15:I35">
    <cfRule type="cellIs" dxfId="179" priority="1" operator="equal">
      <formula>"NO"</formula>
    </cfRule>
  </conditionalFormatting>
  <dataValidations count="1">
    <dataValidation type="list" allowBlank="1" showInputMessage="1" showErrorMessage="1" sqref="E15:E35">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
&amp;A&amp;C&amp;P de &amp;N&amp;R&amp;9INSTITUTO NACIONAL DE VIAS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48"/>
  <sheetViews>
    <sheetView showGridLines="0" topLeftCell="B10" zoomScale="90" zoomScaleNormal="90" zoomScaleSheetLayoutView="55" workbookViewId="0">
      <pane xSplit="7" ySplit="3" topLeftCell="BR53" activePane="bottomRight" state="frozen"/>
      <selection activeCell="B10" sqref="B10"/>
      <selection pane="topRight" activeCell="I10" sqref="I10"/>
      <selection pane="bottomLeft" activeCell="B13" sqref="B13"/>
      <selection pane="bottomRight" activeCell="F58" sqref="F58"/>
    </sheetView>
  </sheetViews>
  <sheetFormatPr baseColWidth="10" defaultColWidth="0" defaultRowHeight="12.75" x14ac:dyDescent="0.2"/>
  <cols>
    <col min="1" max="1" width="2.7109375" style="2" customWidth="1"/>
    <col min="2" max="2" width="5.140625" style="15" customWidth="1"/>
    <col min="3" max="3" width="9.5703125" style="15"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71" width="21.140625" customWidth="1"/>
    <col min="72" max="72" width="16.5703125" customWidth="1"/>
    <col min="73" max="73" width="11.42578125" style="2" hidden="1" customWidth="1"/>
    <col min="74" max="669" width="0" style="2" hidden="1" customWidth="1"/>
    <col min="670" max="670" width="11.42578125" style="2" hidden="1" customWidth="1"/>
    <col min="671" max="16384" width="0" style="2" hidden="1"/>
  </cols>
  <sheetData>
    <row r="1" spans="1:72" s="34" customFormat="1" ht="20.100000000000001" customHeight="1" x14ac:dyDescent="0.25">
      <c r="A1" s="35"/>
      <c r="B1" s="312" t="str">
        <f>RESUMEN!B1</f>
        <v>FIDUPREVISORA</v>
      </c>
      <c r="C1" s="312"/>
      <c r="D1" s="312"/>
      <c r="E1" s="312"/>
      <c r="F1" s="312"/>
      <c r="G1" s="312"/>
      <c r="H1" s="312"/>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s="34" customFormat="1" ht="20.100000000000001" customHeight="1" x14ac:dyDescent="0.25">
      <c r="A2" s="35"/>
      <c r="B2" s="313"/>
      <c r="C2" s="313"/>
      <c r="D2" s="313"/>
      <c r="E2" s="313"/>
      <c r="F2" s="313"/>
      <c r="G2" s="313"/>
      <c r="H2" s="313"/>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row>
    <row r="3" spans="1:72" s="34" customFormat="1" ht="40.5" customHeight="1" x14ac:dyDescent="0.25">
      <c r="A3" s="35"/>
      <c r="B3" s="313" t="str">
        <f>RESUMEN!B3</f>
        <v>PATRIMONIO AUTÓNOMO FIDEICOMISO ECOPETROL ZOMAC (en adelante PATRIMONIO AUTÓNOMO) FIDUCIARIA LA PREVISORA S.A.</v>
      </c>
      <c r="C3" s="313"/>
      <c r="D3" s="313"/>
      <c r="E3" s="313"/>
      <c r="F3" s="313"/>
      <c r="G3" s="313"/>
      <c r="H3" s="313"/>
      <c r="I3" s="36"/>
      <c r="J3" s="201"/>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s="34" customFormat="1" ht="20.100000000000001" customHeight="1" x14ac:dyDescent="0.25">
      <c r="A4" s="35"/>
      <c r="B4" s="313"/>
      <c r="C4" s="313"/>
      <c r="D4" s="313"/>
      <c r="E4" s="313"/>
      <c r="F4" s="313"/>
      <c r="G4" s="313"/>
      <c r="H4" s="313"/>
      <c r="I4" s="36"/>
      <c r="J4" s="202"/>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row>
    <row r="5" spans="1:72" s="34" customFormat="1" ht="20.100000000000001" customHeight="1" x14ac:dyDescent="0.25">
      <c r="A5" s="35"/>
      <c r="B5" s="313" t="str">
        <f>RESUMEN!B5</f>
        <v>LICITACIÓN PRIVADA ABIERTA N° 006 DE 2018</v>
      </c>
      <c r="C5" s="313"/>
      <c r="D5" s="313"/>
      <c r="E5" s="313"/>
      <c r="F5" s="313"/>
      <c r="G5" s="313"/>
      <c r="H5" s="313"/>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row>
    <row r="7" spans="1:72" s="34" customFormat="1" ht="36.75" customHeight="1" x14ac:dyDescent="0.25">
      <c r="A7" s="35"/>
      <c r="B7" s="313" t="str">
        <f>RESUMEN!B7</f>
        <v>PROYECTO No. 2: REHABILITACIÓN DE LA VIA TAME - COROCORO (6605), COROCORO - ARAUCA (6606). DEPARTAMENTO DE ARAUCA VINCULADOS AL CONTRIBUYENTE ECOPETROL S.A. DENTRO DEL MARCO DEL MECANISMO DE OBRAS POR IMPUESTOS</v>
      </c>
      <c r="C7" s="313"/>
      <c r="D7" s="313"/>
      <c r="E7" s="313"/>
      <c r="F7" s="313"/>
      <c r="G7" s="313"/>
      <c r="H7" s="313"/>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row>
    <row r="9" spans="1:72" s="17" customFormat="1" ht="13.5" thickBot="1" x14ac:dyDescent="0.25">
      <c r="A9" s="21"/>
      <c r="B9" s="330" t="s">
        <v>83</v>
      </c>
      <c r="C9" s="330"/>
      <c r="D9" s="330"/>
      <c r="E9" s="330"/>
      <c r="F9" s="330"/>
      <c r="G9" s="330"/>
      <c r="H9" s="330"/>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row>
    <row r="10" spans="1:72" s="8" customFormat="1" ht="20.100000000000001" customHeight="1" thickTop="1" thickBot="1" x14ac:dyDescent="0.25">
      <c r="A10" s="18"/>
      <c r="B10" s="50"/>
      <c r="C10" s="13"/>
      <c r="D10" s="19"/>
      <c r="E10" s="20"/>
      <c r="F10" s="20"/>
      <c r="G10" s="24"/>
      <c r="H10" s="27"/>
      <c r="I10" s="334" t="str">
        <f>RESUMEN!$E$15</f>
        <v>ADMISIBLE</v>
      </c>
      <c r="J10" s="334"/>
      <c r="K10" s="334"/>
      <c r="L10" s="334" t="str">
        <f>RESUMEN!$E$16</f>
        <v>ADMISIBLE</v>
      </c>
      <c r="M10" s="334"/>
      <c r="N10" s="334"/>
      <c r="O10" s="334" t="str">
        <f>RESUMEN!$E$17</f>
        <v>ADMISIBLE</v>
      </c>
      <c r="P10" s="334"/>
      <c r="Q10" s="334"/>
      <c r="R10" s="334" t="str">
        <f>RESUMEN!$E$18</f>
        <v>ADMISIBLE</v>
      </c>
      <c r="S10" s="334"/>
      <c r="T10" s="334"/>
      <c r="U10" s="334" t="str">
        <f>RESUMEN!$E$19</f>
        <v>ADMISIBLE</v>
      </c>
      <c r="V10" s="334"/>
      <c r="W10" s="334"/>
      <c r="X10" s="334" t="str">
        <f>RESUMEN!$E$20</f>
        <v>ADMISIBLE</v>
      </c>
      <c r="Y10" s="334"/>
      <c r="Z10" s="334"/>
      <c r="AA10" s="334" t="str">
        <f>RESUMEN!$E$21</f>
        <v>RECHAZO</v>
      </c>
      <c r="AB10" s="334"/>
      <c r="AC10" s="334"/>
      <c r="AD10" s="334" t="str">
        <f>RESUMEN!$E$22</f>
        <v>ADMISIBLE</v>
      </c>
      <c r="AE10" s="334"/>
      <c r="AF10" s="334"/>
      <c r="AG10" s="334" t="str">
        <f>RESUMEN!$E$23</f>
        <v>RECHAZO</v>
      </c>
      <c r="AH10" s="334"/>
      <c r="AI10" s="334"/>
      <c r="AJ10" s="334" t="str">
        <f>RESUMEN!$E$24</f>
        <v>RECHAZO</v>
      </c>
      <c r="AK10" s="334"/>
      <c r="AL10" s="334"/>
      <c r="AM10" s="334" t="str">
        <f>RESUMEN!$E$25</f>
        <v>RECHAZO</v>
      </c>
      <c r="AN10" s="334"/>
      <c r="AO10" s="334"/>
      <c r="AP10" s="334" t="str">
        <f>RESUMEN!$E$26</f>
        <v>ADMISIBLE</v>
      </c>
      <c r="AQ10" s="334"/>
      <c r="AR10" s="334"/>
      <c r="AS10" s="334" t="str">
        <f>RESUMEN!$E$27</f>
        <v>ADMISIBLE</v>
      </c>
      <c r="AT10" s="334"/>
      <c r="AU10" s="334"/>
      <c r="AV10" s="334" t="str">
        <f>RESUMEN!$E$28</f>
        <v>ADMISIBLE</v>
      </c>
      <c r="AW10" s="334"/>
      <c r="AX10" s="334"/>
      <c r="AY10" s="334" t="str">
        <f>RESUMEN!$E$29</f>
        <v>ADMISIBLE</v>
      </c>
      <c r="AZ10" s="334"/>
      <c r="BA10" s="334"/>
      <c r="BB10" s="334" t="str">
        <f>RESUMEN!$E$30</f>
        <v>ADMISIBLE</v>
      </c>
      <c r="BC10" s="334"/>
      <c r="BD10" s="334"/>
      <c r="BE10" s="334" t="str">
        <f>RESUMEN!$E$31</f>
        <v>NO ADMISIBLE</v>
      </c>
      <c r="BF10" s="334"/>
      <c r="BG10" s="334"/>
      <c r="BH10" s="334" t="str">
        <f>RESUMEN!$E$32</f>
        <v>RECHAZO</v>
      </c>
      <c r="BI10" s="334"/>
      <c r="BJ10" s="334"/>
      <c r="BK10" s="334" t="str">
        <f>RESUMEN!$E$33</f>
        <v>ADMISIBLE</v>
      </c>
      <c r="BL10" s="334"/>
      <c r="BM10" s="334"/>
      <c r="BN10" s="334" t="str">
        <f>RESUMEN!$E$34</f>
        <v>ADMISIBLE</v>
      </c>
      <c r="BO10" s="334"/>
      <c r="BP10" s="334"/>
      <c r="BQ10" s="334" t="str">
        <f>RESUMEN!$E$35</f>
        <v>ADMISIBLE</v>
      </c>
      <c r="BR10" s="334"/>
      <c r="BS10" s="334"/>
      <c r="BT10"/>
    </row>
    <row r="11" spans="1:72" s="9" customFormat="1" ht="20.25" customHeight="1" thickTop="1" x14ac:dyDescent="0.25">
      <c r="A11" s="22"/>
      <c r="B11" s="355"/>
      <c r="C11" s="355"/>
      <c r="D11" s="355"/>
      <c r="E11" s="355"/>
      <c r="F11" s="355"/>
      <c r="G11" s="355"/>
      <c r="H11" s="355"/>
      <c r="I11" s="335">
        <f>RESUMEN!$C$15</f>
        <v>1</v>
      </c>
      <c r="J11" s="335"/>
      <c r="K11" s="335"/>
      <c r="L11" s="335">
        <f>RESUMEN!$C$16</f>
        <v>3</v>
      </c>
      <c r="M11" s="335"/>
      <c r="N11" s="335"/>
      <c r="O11" s="335">
        <f>RESUMEN!$C$17</f>
        <v>4</v>
      </c>
      <c r="P11" s="335"/>
      <c r="Q11" s="335"/>
      <c r="R11" s="335">
        <f>RESUMEN!$C$18</f>
        <v>5</v>
      </c>
      <c r="S11" s="335"/>
      <c r="T11" s="335"/>
      <c r="U11" s="335">
        <f>RESUMEN!$C$19</f>
        <v>6</v>
      </c>
      <c r="V11" s="335"/>
      <c r="W11" s="335"/>
      <c r="X11" s="335">
        <f>RESUMEN!$C$20</f>
        <v>7</v>
      </c>
      <c r="Y11" s="335"/>
      <c r="Z11" s="335"/>
      <c r="AA11" s="335">
        <f>RESUMEN!$C$21</f>
        <v>10</v>
      </c>
      <c r="AB11" s="335"/>
      <c r="AC11" s="335"/>
      <c r="AD11" s="335">
        <f>RESUMEN!$C$22</f>
        <v>12</v>
      </c>
      <c r="AE11" s="335"/>
      <c r="AF11" s="335"/>
      <c r="AG11" s="335">
        <f>RESUMEN!$C$23</f>
        <v>13</v>
      </c>
      <c r="AH11" s="335"/>
      <c r="AI11" s="335"/>
      <c r="AJ11" s="335">
        <f>RESUMEN!$C$24</f>
        <v>17</v>
      </c>
      <c r="AK11" s="335"/>
      <c r="AL11" s="335"/>
      <c r="AM11" s="335">
        <f>RESUMEN!$C$25</f>
        <v>18</v>
      </c>
      <c r="AN11" s="335"/>
      <c r="AO11" s="335"/>
      <c r="AP11" s="335">
        <f>RESUMEN!$C$26</f>
        <v>20</v>
      </c>
      <c r="AQ11" s="335"/>
      <c r="AR11" s="335"/>
      <c r="AS11" s="335">
        <f>RESUMEN!$C$27</f>
        <v>21</v>
      </c>
      <c r="AT11" s="335"/>
      <c r="AU11" s="335"/>
      <c r="AV11" s="335">
        <f>RESUMEN!$C$28</f>
        <v>23</v>
      </c>
      <c r="AW11" s="335"/>
      <c r="AX11" s="335"/>
      <c r="AY11" s="335">
        <f>RESUMEN!$C$29</f>
        <v>24</v>
      </c>
      <c r="AZ11" s="335"/>
      <c r="BA11" s="335"/>
      <c r="BB11" s="335">
        <f>RESUMEN!$C$30</f>
        <v>25</v>
      </c>
      <c r="BC11" s="335"/>
      <c r="BD11" s="335"/>
      <c r="BE11" s="335">
        <f>RESUMEN!$C$31</f>
        <v>27</v>
      </c>
      <c r="BF11" s="335"/>
      <c r="BG11" s="335"/>
      <c r="BH11" s="335">
        <f>RESUMEN!$C$32</f>
        <v>29</v>
      </c>
      <c r="BI11" s="335"/>
      <c r="BJ11" s="335"/>
      <c r="BK11" s="335">
        <f>RESUMEN!$C$33</f>
        <v>30</v>
      </c>
      <c r="BL11" s="335"/>
      <c r="BM11" s="335"/>
      <c r="BN11" s="335">
        <f>RESUMEN!$C$34</f>
        <v>31</v>
      </c>
      <c r="BO11" s="335"/>
      <c r="BP11" s="335"/>
      <c r="BQ11" s="335">
        <f>RESUMEN!$C$35</f>
        <v>33</v>
      </c>
      <c r="BR11" s="335"/>
      <c r="BS11" s="335"/>
      <c r="BT11"/>
    </row>
    <row r="12" spans="1:72" s="10" customFormat="1" ht="17.25" customHeight="1" thickBot="1" x14ac:dyDescent="0.25">
      <c r="A12" s="30"/>
      <c r="B12" s="356" t="s">
        <v>0</v>
      </c>
      <c r="C12" s="356"/>
      <c r="D12" s="356"/>
      <c r="E12" s="356"/>
      <c r="F12" s="356"/>
      <c r="G12" s="356"/>
      <c r="H12" s="356"/>
      <c r="I12" s="336" t="str">
        <f>RESUMEN!$D$15</f>
        <v>CONSORCIO ZOMAC ARAUCA</v>
      </c>
      <c r="J12" s="336"/>
      <c r="K12" s="336"/>
      <c r="L12" s="336" t="str">
        <f>RESUMEN!$D$16</f>
        <v>CONSORCIO VÍA COROCORO</v>
      </c>
      <c r="M12" s="336"/>
      <c r="N12" s="336"/>
      <c r="O12" s="336" t="str">
        <f>RESUMEN!$D$17</f>
        <v>MAQUINARIA INGENIERIA CONSTRUCCIÓN Y OBRAS S.A.S</v>
      </c>
      <c r="P12" s="336"/>
      <c r="Q12" s="336"/>
      <c r="R12" s="336" t="str">
        <f>RESUMEN!$D$18</f>
        <v>EQUIPOS Y TRITURADOS S.A.S</v>
      </c>
      <c r="S12" s="336"/>
      <c r="T12" s="336"/>
      <c r="U12" s="336" t="str">
        <f>RESUMEN!$D$19</f>
        <v>INGECON S.A</v>
      </c>
      <c r="V12" s="336"/>
      <c r="W12" s="336"/>
      <c r="X12" s="336" t="str">
        <f>RESUMEN!$D$20</f>
        <v>CONSORCIO DBS-AP</v>
      </c>
      <c r="Y12" s="336"/>
      <c r="Z12" s="336"/>
      <c r="AA12" s="336" t="str">
        <f>RESUMEN!$D$21</f>
        <v xml:space="preserve">CONSORCIO PUERTA DEL SOL </v>
      </c>
      <c r="AB12" s="336"/>
      <c r="AC12" s="336"/>
      <c r="AD12" s="336" t="str">
        <f>RESUMEN!$D$22</f>
        <v>CONSORCIO VÍAS ARAUCA</v>
      </c>
      <c r="AE12" s="336"/>
      <c r="AF12" s="336"/>
      <c r="AG12" s="336" t="str">
        <f>RESUMEN!$D$23</f>
        <v>U.T COROCORO- ARAUCA 2018</v>
      </c>
      <c r="AH12" s="336"/>
      <c r="AI12" s="336"/>
      <c r="AJ12" s="336" t="str">
        <f>RESUMEN!$D$24</f>
        <v>U.T SERVICIOS E INGENIERIA COROCORO</v>
      </c>
      <c r="AK12" s="336"/>
      <c r="AL12" s="336"/>
      <c r="AM12" s="336" t="str">
        <f>RESUMEN!$D$25</f>
        <v>CONSORCIO VIAL ARAUCA</v>
      </c>
      <c r="AN12" s="336"/>
      <c r="AO12" s="336"/>
      <c r="AP12" s="336" t="str">
        <f>RESUMEN!$D$26</f>
        <v>CONSORCIO TAME 2018</v>
      </c>
      <c r="AQ12" s="336"/>
      <c r="AR12" s="336"/>
      <c r="AS12" s="336" t="str">
        <f>RESUMEN!$D$27</f>
        <v>CONSORCIO SAMORÉ</v>
      </c>
      <c r="AT12" s="336"/>
      <c r="AU12" s="336"/>
      <c r="AV12" s="336" t="str">
        <f>RESUMEN!$D$28</f>
        <v>CONSORCIO VIAL COROCORO 2018</v>
      </c>
      <c r="AW12" s="336"/>
      <c r="AX12" s="336"/>
      <c r="AY12" s="336" t="str">
        <f>RESUMEN!$D$29</f>
        <v>UNION TEMPORAL TAME COROCORO</v>
      </c>
      <c r="AZ12" s="336"/>
      <c r="BA12" s="336"/>
      <c r="BB12" s="336" t="str">
        <f>RESUMEN!$D$30</f>
        <v>CONSORCIO TADEO VÍAS</v>
      </c>
      <c r="BC12" s="336"/>
      <c r="BD12" s="336"/>
      <c r="BE12" s="336" t="str">
        <f>RESUMEN!$D$31</f>
        <v>CONSORCIO DEL ORIENTE</v>
      </c>
      <c r="BF12" s="336"/>
      <c r="BG12" s="336"/>
      <c r="BH12" s="336" t="str">
        <f>RESUMEN!$D$32</f>
        <v>CONSORCIO VÍAS COLOMBIA 2019</v>
      </c>
      <c r="BI12" s="336"/>
      <c r="BJ12" s="336"/>
      <c r="BK12" s="336" t="str">
        <f>RESUMEN!$D$33</f>
        <v>CONSORCIO INFRAESTRUCTURA ARAUCA</v>
      </c>
      <c r="BL12" s="336"/>
      <c r="BM12" s="336"/>
      <c r="BN12" s="336" t="str">
        <f>RESUMEN!$D$34</f>
        <v>CONSORCIO RUTA NACIONAL 2018</v>
      </c>
      <c r="BO12" s="336"/>
      <c r="BP12" s="336"/>
      <c r="BQ12" s="336" t="str">
        <f>RESUMEN!$D$35</f>
        <v>CONSORCIO ECO-VIAS</v>
      </c>
      <c r="BR12" s="336"/>
      <c r="BS12" s="336"/>
      <c r="BT12"/>
    </row>
    <row r="13" spans="1:72" ht="36" customHeight="1" thickBot="1" x14ac:dyDescent="0.25">
      <c r="A13" s="11"/>
      <c r="B13" s="204" t="s">
        <v>10</v>
      </c>
      <c r="C13" s="205" t="s">
        <v>103</v>
      </c>
      <c r="D13" s="206" t="s">
        <v>95</v>
      </c>
      <c r="E13" s="206" t="s">
        <v>1</v>
      </c>
      <c r="F13" s="207" t="s">
        <v>6</v>
      </c>
      <c r="G13" s="206" t="s">
        <v>136</v>
      </c>
      <c r="H13" s="209" t="s">
        <v>39</v>
      </c>
      <c r="I13" s="210" t="s">
        <v>136</v>
      </c>
      <c r="J13" s="206" t="s">
        <v>2</v>
      </c>
      <c r="K13" s="208" t="s">
        <v>137</v>
      </c>
      <c r="L13" s="210" t="s">
        <v>136</v>
      </c>
      <c r="M13" s="206" t="s">
        <v>2</v>
      </c>
      <c r="N13" s="208" t="s">
        <v>137</v>
      </c>
      <c r="O13" s="210" t="s">
        <v>136</v>
      </c>
      <c r="P13" s="206" t="s">
        <v>2</v>
      </c>
      <c r="Q13" s="208" t="s">
        <v>137</v>
      </c>
      <c r="R13" s="210" t="s">
        <v>136</v>
      </c>
      <c r="S13" s="206" t="s">
        <v>2</v>
      </c>
      <c r="T13" s="208" t="s">
        <v>137</v>
      </c>
      <c r="U13" s="210" t="s">
        <v>136</v>
      </c>
      <c r="V13" s="206" t="s">
        <v>2</v>
      </c>
      <c r="W13" s="208" t="s">
        <v>137</v>
      </c>
      <c r="X13" s="210" t="s">
        <v>136</v>
      </c>
      <c r="Y13" s="206" t="s">
        <v>2</v>
      </c>
      <c r="Z13" s="208" t="s">
        <v>137</v>
      </c>
      <c r="AA13" s="210" t="s">
        <v>136</v>
      </c>
      <c r="AB13" s="206" t="s">
        <v>2</v>
      </c>
      <c r="AC13" s="208" t="s">
        <v>137</v>
      </c>
      <c r="AD13" s="210" t="s">
        <v>136</v>
      </c>
      <c r="AE13" s="206" t="s">
        <v>2</v>
      </c>
      <c r="AF13" s="208" t="s">
        <v>137</v>
      </c>
      <c r="AG13" s="210" t="s">
        <v>136</v>
      </c>
      <c r="AH13" s="206" t="s">
        <v>2</v>
      </c>
      <c r="AI13" s="208" t="s">
        <v>137</v>
      </c>
      <c r="AJ13" s="210" t="s">
        <v>136</v>
      </c>
      <c r="AK13" s="206" t="s">
        <v>2</v>
      </c>
      <c r="AL13" s="208" t="s">
        <v>137</v>
      </c>
      <c r="AM13" s="210" t="s">
        <v>136</v>
      </c>
      <c r="AN13" s="206" t="s">
        <v>2</v>
      </c>
      <c r="AO13" s="208" t="s">
        <v>137</v>
      </c>
      <c r="AP13" s="210" t="s">
        <v>136</v>
      </c>
      <c r="AQ13" s="206" t="s">
        <v>2</v>
      </c>
      <c r="AR13" s="208" t="s">
        <v>137</v>
      </c>
      <c r="AS13" s="210" t="s">
        <v>136</v>
      </c>
      <c r="AT13" s="206" t="s">
        <v>2</v>
      </c>
      <c r="AU13" s="208" t="s">
        <v>137</v>
      </c>
      <c r="AV13" s="210" t="s">
        <v>136</v>
      </c>
      <c r="AW13" s="206" t="s">
        <v>2</v>
      </c>
      <c r="AX13" s="208" t="s">
        <v>137</v>
      </c>
      <c r="AY13" s="210" t="s">
        <v>136</v>
      </c>
      <c r="AZ13" s="206" t="s">
        <v>2</v>
      </c>
      <c r="BA13" s="208" t="s">
        <v>137</v>
      </c>
      <c r="BB13" s="210" t="s">
        <v>136</v>
      </c>
      <c r="BC13" s="206" t="s">
        <v>2</v>
      </c>
      <c r="BD13" s="208" t="s">
        <v>137</v>
      </c>
      <c r="BE13" s="210" t="s">
        <v>136</v>
      </c>
      <c r="BF13" s="206" t="s">
        <v>2</v>
      </c>
      <c r="BG13" s="208" t="s">
        <v>137</v>
      </c>
      <c r="BH13" s="210" t="s">
        <v>136</v>
      </c>
      <c r="BI13" s="206" t="s">
        <v>2</v>
      </c>
      <c r="BJ13" s="208" t="s">
        <v>137</v>
      </c>
      <c r="BK13" s="210" t="s">
        <v>136</v>
      </c>
      <c r="BL13" s="206" t="s">
        <v>2</v>
      </c>
      <c r="BM13" s="208" t="s">
        <v>137</v>
      </c>
      <c r="BN13" s="210" t="s">
        <v>136</v>
      </c>
      <c r="BO13" s="206" t="s">
        <v>2</v>
      </c>
      <c r="BP13" s="208" t="s">
        <v>137</v>
      </c>
      <c r="BQ13" s="210" t="s">
        <v>136</v>
      </c>
      <c r="BR13" s="206" t="s">
        <v>2</v>
      </c>
      <c r="BS13" s="208" t="s">
        <v>137</v>
      </c>
    </row>
    <row r="14" spans="1:72" ht="20.45" customHeight="1" x14ac:dyDescent="0.2">
      <c r="A14" s="11"/>
      <c r="B14" s="158" t="s">
        <v>119</v>
      </c>
      <c r="C14" s="159"/>
      <c r="D14" s="159"/>
      <c r="E14" s="159"/>
      <c r="F14" s="191"/>
      <c r="G14" s="159"/>
      <c r="H14" s="186">
        <f>SUM(H15:H20)</f>
        <v>4486094522</v>
      </c>
      <c r="I14" s="187"/>
      <c r="J14" s="188">
        <f>SUM(J15:J20)</f>
        <v>4485322962</v>
      </c>
      <c r="K14" s="189"/>
      <c r="L14" s="187"/>
      <c r="M14" s="188">
        <f t="shared" ref="M14" si="0">SUM(M15:M20)</f>
        <v>4400546066</v>
      </c>
      <c r="N14" s="189"/>
      <c r="O14" s="187"/>
      <c r="P14" s="188">
        <f t="shared" ref="P14" si="1">SUM(P15:P20)</f>
        <v>4486094522</v>
      </c>
      <c r="Q14" s="189"/>
      <c r="R14" s="187"/>
      <c r="S14" s="188">
        <f t="shared" ref="S14" si="2">SUM(S15:S20)</f>
        <v>4462344980</v>
      </c>
      <c r="T14" s="189"/>
      <c r="U14" s="187"/>
      <c r="V14" s="188">
        <f t="shared" ref="V14" si="3">SUM(V15:V20)</f>
        <v>4467582500</v>
      </c>
      <c r="W14" s="189"/>
      <c r="X14" s="187"/>
      <c r="Y14" s="188">
        <f t="shared" ref="Y14" si="4">SUM(Y15:Y20)</f>
        <v>4458738971</v>
      </c>
      <c r="Z14" s="189"/>
      <c r="AA14" s="187"/>
      <c r="AB14" s="188">
        <f t="shared" ref="AB14" si="5">SUM(AB15:AB20)</f>
        <v>0</v>
      </c>
      <c r="AC14" s="189"/>
      <c r="AD14" s="187"/>
      <c r="AE14" s="188">
        <f t="shared" ref="AE14" si="6">SUM(AE15:AE20)</f>
        <v>4425455190</v>
      </c>
      <c r="AF14" s="189"/>
      <c r="AG14" s="187"/>
      <c r="AH14" s="188">
        <f t="shared" ref="AH14" si="7">SUM(AH15:AH20)</f>
        <v>0</v>
      </c>
      <c r="AI14" s="189"/>
      <c r="AJ14" s="187"/>
      <c r="AK14" s="188">
        <f t="shared" ref="AK14" si="8">SUM(AK15:AK20)</f>
        <v>0</v>
      </c>
      <c r="AL14" s="189"/>
      <c r="AM14" s="187"/>
      <c r="AN14" s="188">
        <f t="shared" ref="AN14" si="9">SUM(AN15:AN20)</f>
        <v>0</v>
      </c>
      <c r="AO14" s="189"/>
      <c r="AP14" s="187"/>
      <c r="AQ14" s="188">
        <f t="shared" ref="AQ14" si="10">SUM(AQ15:AQ20)</f>
        <v>4151460758</v>
      </c>
      <c r="AR14" s="189"/>
      <c r="AS14" s="187"/>
      <c r="AT14" s="188">
        <f t="shared" ref="AT14" si="11">SUM(AT15:AT20)</f>
        <v>4463054030</v>
      </c>
      <c r="AU14" s="189"/>
      <c r="AV14" s="187"/>
      <c r="AW14" s="188">
        <f t="shared" ref="AW14" si="12">SUM(AW15:AW20)</f>
        <v>4366709023</v>
      </c>
      <c r="AX14" s="189"/>
      <c r="AY14" s="187"/>
      <c r="AZ14" s="188">
        <f t="shared" ref="AZ14" si="13">SUM(AZ15:AZ20)</f>
        <v>4486094522</v>
      </c>
      <c r="BA14" s="189"/>
      <c r="BB14" s="187"/>
      <c r="BC14" s="188">
        <f t="shared" ref="BC14" si="14">SUM(BC15:BC20)</f>
        <v>4370328250</v>
      </c>
      <c r="BD14" s="189"/>
      <c r="BE14" s="187"/>
      <c r="BF14" s="188">
        <f t="shared" ref="BF14" si="15">SUM(BF15:BF20)</f>
        <v>0</v>
      </c>
      <c r="BG14" s="189"/>
      <c r="BH14" s="187"/>
      <c r="BI14" s="188">
        <f t="shared" ref="BI14" si="16">SUM(BI15:BI20)</f>
        <v>0</v>
      </c>
      <c r="BJ14" s="189"/>
      <c r="BK14" s="187"/>
      <c r="BL14" s="188">
        <f t="shared" ref="BL14" si="17">SUM(BL15:BL20)</f>
        <v>4440123201</v>
      </c>
      <c r="BM14" s="189"/>
      <c r="BN14" s="187"/>
      <c r="BO14" s="188">
        <f t="shared" ref="BO14" si="18">SUM(BO15:BO20)</f>
        <v>4440319919</v>
      </c>
      <c r="BP14" s="189"/>
      <c r="BQ14" s="187"/>
      <c r="BR14" s="188">
        <f t="shared" ref="BR14" si="19">SUM(BR15:BR20)</f>
        <v>4361425625</v>
      </c>
      <c r="BS14" s="189"/>
    </row>
    <row r="15" spans="1:72" ht="30.6" customHeight="1" x14ac:dyDescent="0.2">
      <c r="A15" s="11"/>
      <c r="B15" s="160">
        <v>1</v>
      </c>
      <c r="C15" s="161" t="s">
        <v>123</v>
      </c>
      <c r="D15" s="298" t="s">
        <v>153</v>
      </c>
      <c r="E15" s="161" t="s">
        <v>98</v>
      </c>
      <c r="F15" s="268">
        <v>491</v>
      </c>
      <c r="G15" s="268">
        <v>119361</v>
      </c>
      <c r="H15" s="162">
        <f>ROUND(G15*F15,0)</f>
        <v>58606251</v>
      </c>
      <c r="I15" s="270">
        <v>119178</v>
      </c>
      <c r="J15" s="163">
        <f>ROUND($F15*I15,0)</f>
        <v>58516398</v>
      </c>
      <c r="K15" s="164" t="str">
        <f>+IF(I15&gt;0,IF(OR(I15&gt;$G15,ROUND(I15,0)&gt;$G15),"NO VÁLIDA","VÁLIDA"),"NO VÁLIDA")</f>
        <v>VÁLIDA</v>
      </c>
      <c r="L15" s="270">
        <v>119361</v>
      </c>
      <c r="M15" s="163">
        <f t="shared" ref="M15:M20" si="20">ROUND($F15*L15,0)</f>
        <v>58606251</v>
      </c>
      <c r="N15" s="164" t="str">
        <f t="shared" ref="N15:N17" si="21">+IF(L15&gt;0,IF(OR(L15&gt;$G15,ROUND(L15,0)&gt;$G15),"NO VÁLIDA","VÁLIDA"),"NO VÁLIDA")</f>
        <v>VÁLIDA</v>
      </c>
      <c r="O15" s="270">
        <v>119361</v>
      </c>
      <c r="P15" s="163">
        <f t="shared" ref="P15:P20" si="22">ROUND($F15*O15,0)</f>
        <v>58606251</v>
      </c>
      <c r="Q15" s="164" t="str">
        <f t="shared" ref="Q15:Q17" si="23">+IF(O15&gt;0,IF(OR(O15&gt;$G15,ROUND(O15,0)&gt;$G15),"NO VÁLIDA","VÁLIDA"),"NO VÁLIDA")</f>
        <v>VÁLIDA</v>
      </c>
      <c r="R15" s="270">
        <v>119360</v>
      </c>
      <c r="S15" s="163">
        <f t="shared" ref="S15:S20" si="24">ROUND($F15*R15,0)</f>
        <v>58605760</v>
      </c>
      <c r="T15" s="164" t="str">
        <f t="shared" ref="T15:T17" si="25">+IF(R15&gt;0,IF(OR(R15&gt;$G15,ROUND(R15,0)&gt;$G15),"NO VÁLIDA","VÁLIDA"),"NO VÁLIDA")</f>
        <v>VÁLIDA</v>
      </c>
      <c r="U15" s="270">
        <v>119000</v>
      </c>
      <c r="V15" s="163">
        <f t="shared" ref="V15:V20" si="26">ROUND($F15*U15,0)</f>
        <v>58429000</v>
      </c>
      <c r="W15" s="164" t="str">
        <f t="shared" ref="W15:W17" si="27">+IF(U15&gt;0,IF(OR(U15&gt;$G15,ROUND(U15,0)&gt;$G15),"NO VÁLIDA","VÁLIDA"),"NO VÁLIDA")</f>
        <v>VÁLIDA</v>
      </c>
      <c r="X15" s="270">
        <v>118632</v>
      </c>
      <c r="Y15" s="163">
        <f t="shared" ref="Y15:Y20" si="28">ROUND($F15*X15,0)</f>
        <v>58248312</v>
      </c>
      <c r="Z15" s="164" t="str">
        <f t="shared" ref="Z15:Z17" si="29">+IF(X15&gt;0,IF(OR(X15&gt;$G15,ROUND(X15,0)&gt;$G15),"NO VÁLIDA","VÁLIDA"),"NO VÁLIDA")</f>
        <v>VÁLIDA</v>
      </c>
      <c r="AA15" s="270"/>
      <c r="AB15" s="163">
        <f t="shared" ref="AB15:AB20" si="30">ROUND($F15*AA15,0)</f>
        <v>0</v>
      </c>
      <c r="AC15" s="164" t="str">
        <f t="shared" ref="AC15:AC17" si="31">+IF(AA15&gt;0,IF(OR(AA15&gt;$G15,ROUND(AA15,0)&gt;$G15),"NO VÁLIDA","VÁLIDA"),"NO VÁLIDA")</f>
        <v>NO VÁLIDA</v>
      </c>
      <c r="AD15" s="270">
        <v>117750</v>
      </c>
      <c r="AE15" s="163">
        <f t="shared" ref="AE15:AE20" si="32">ROUND($F15*AD15,0)</f>
        <v>57815250</v>
      </c>
      <c r="AF15" s="164" t="str">
        <f t="shared" ref="AF15:AF17" si="33">+IF(AD15&gt;0,IF(OR(AD15&gt;$G15,ROUND(AD15,0)&gt;$G15),"NO VÁLIDA","VÁLIDA"),"NO VÁLIDA")</f>
        <v>VÁLIDA</v>
      </c>
      <c r="AG15" s="270"/>
      <c r="AH15" s="163">
        <f t="shared" ref="AH15:AH20" si="34">ROUND($F15*AG15,0)</f>
        <v>0</v>
      </c>
      <c r="AI15" s="164" t="str">
        <f t="shared" ref="AI15:AI17" si="35">+IF(AG15&gt;0,IF(OR(AG15&gt;$G15,ROUND(AG15,0)&gt;$G15),"NO VÁLIDA","VÁLIDA"),"NO VÁLIDA")</f>
        <v>NO VÁLIDA</v>
      </c>
      <c r="AJ15" s="270"/>
      <c r="AK15" s="163">
        <f t="shared" ref="AK15:AK20" si="36">ROUND($F15*AJ15,0)</f>
        <v>0</v>
      </c>
      <c r="AL15" s="164" t="str">
        <f t="shared" ref="AL15:AL17" si="37">+IF(AJ15&gt;0,IF(OR(AJ15&gt;$G15,ROUND(AJ15,0)&gt;$G15),"NO VÁLIDA","VÁLIDA"),"NO VÁLIDA")</f>
        <v>NO VÁLIDA</v>
      </c>
      <c r="AM15" s="270"/>
      <c r="AN15" s="163">
        <f t="shared" ref="AN15:AN20" si="38">ROUND($F15*AM15,0)</f>
        <v>0</v>
      </c>
      <c r="AO15" s="164" t="str">
        <f t="shared" ref="AO15:AO17" si="39">+IF(AM15&gt;0,IF(OR(AM15&gt;$G15,ROUND(AM15,0)&gt;$G15),"NO VÁLIDA","VÁLIDA"),"NO VÁLIDA")</f>
        <v>NO VÁLIDA</v>
      </c>
      <c r="AP15" s="270">
        <v>119361</v>
      </c>
      <c r="AQ15" s="163">
        <f t="shared" ref="AQ15:AQ20" si="40">ROUND($F15*AP15,0)</f>
        <v>58606251</v>
      </c>
      <c r="AR15" s="164" t="str">
        <f t="shared" ref="AR15:AR17" si="41">+IF(AP15&gt;0,IF(OR(AP15&gt;$G15,ROUND(AP15,0)&gt;$G15),"NO VÁLIDA","VÁLIDA"),"NO VÁLIDA")</f>
        <v>VÁLIDA</v>
      </c>
      <c r="AS15" s="270">
        <v>119360</v>
      </c>
      <c r="AT15" s="163">
        <f t="shared" ref="AT15:AT20" si="42">ROUND($F15*AS15,0)</f>
        <v>58605760</v>
      </c>
      <c r="AU15" s="164" t="str">
        <f t="shared" ref="AU15:AU17" si="43">+IF(AS15&gt;0,IF(OR(AS15&gt;$G15,ROUND(AS15,0)&gt;$G15),"NO VÁLIDA","VÁLIDA"),"NO VÁLIDA")</f>
        <v>VÁLIDA</v>
      </c>
      <c r="AV15" s="270">
        <v>116183</v>
      </c>
      <c r="AW15" s="163">
        <f t="shared" ref="AW15:AW20" si="44">ROUND($F15*AV15,0)</f>
        <v>57045853</v>
      </c>
      <c r="AX15" s="164" t="str">
        <f t="shared" ref="AX15:AX17" si="45">+IF(AV15&gt;0,IF(OR(AV15&gt;$G15,ROUND(AV15,0)&gt;$G15),"NO VÁLIDA","VÁLIDA"),"NO VÁLIDA")</f>
        <v>VÁLIDA</v>
      </c>
      <c r="AY15" s="268">
        <v>119361</v>
      </c>
      <c r="AZ15" s="163">
        <f t="shared" ref="AZ15:AZ20" si="46">ROUND($F15*AY15,0)</f>
        <v>58606251</v>
      </c>
      <c r="BA15" s="164" t="str">
        <f t="shared" ref="BA15:BA17" si="47">+IF(AY15&gt;0,IF(OR(AY15&gt;$G15,ROUND(AY15,0)&gt;$G15),"NO VÁLIDA","VÁLIDA"),"NO VÁLIDA")</f>
        <v>VÁLIDA</v>
      </c>
      <c r="BB15" s="270">
        <v>115200</v>
      </c>
      <c r="BC15" s="163">
        <f t="shared" ref="BC15:BC20" si="48">ROUND($F15*BB15,0)</f>
        <v>56563200</v>
      </c>
      <c r="BD15" s="164" t="str">
        <f t="shared" ref="BD15:BD17" si="49">+IF(BB15&gt;0,IF(OR(BB15&gt;$G15,ROUND(BB15,0)&gt;$G15),"NO VÁLIDA","VÁLIDA"),"NO VÁLIDA")</f>
        <v>VÁLIDA</v>
      </c>
      <c r="BE15" s="270"/>
      <c r="BF15" s="163">
        <f t="shared" ref="BF15:BF20" si="50">ROUND($F15*BE15,0)</f>
        <v>0</v>
      </c>
      <c r="BG15" s="164" t="str">
        <f t="shared" ref="BG15:BG17" si="51">+IF(BE15&gt;0,IF(OR(BE15&gt;$G15,ROUND(BE15,0)&gt;$G15),"NO VÁLIDA","VÁLIDA"),"NO VÁLIDA")</f>
        <v>NO VÁLIDA</v>
      </c>
      <c r="BH15" s="270"/>
      <c r="BI15" s="163">
        <f t="shared" ref="BI15:BI20" si="52">ROUND($F15*BH15,0)</f>
        <v>0</v>
      </c>
      <c r="BJ15" s="164" t="str">
        <f t="shared" ref="BJ15:BJ17" si="53">+IF(BH15&gt;0,IF(OR(BH15&gt;$G15,ROUND(BH15,0)&gt;$G15),"NO VÁLIDA","VÁLIDA"),"NO VÁLIDA")</f>
        <v>NO VÁLIDA</v>
      </c>
      <c r="BK15" s="270">
        <v>118136</v>
      </c>
      <c r="BL15" s="163">
        <f t="shared" ref="BL15:BL20" si="54">ROUND($F15*BK15,0)</f>
        <v>58004776</v>
      </c>
      <c r="BM15" s="164" t="str">
        <f t="shared" ref="BM15:BM17" si="55">+IF(BK15&gt;0,IF(OR(BK15&gt;$G15,ROUND(BK15,0)&gt;$G15),"NO VÁLIDA","VÁLIDA"),"NO VÁLIDA")</f>
        <v>VÁLIDA</v>
      </c>
      <c r="BN15" s="270">
        <v>118144</v>
      </c>
      <c r="BO15" s="163">
        <f t="shared" ref="BO15:BO20" si="56">ROUND($F15*BN15,0)</f>
        <v>58008704</v>
      </c>
      <c r="BP15" s="164" t="str">
        <f t="shared" ref="BP15:BP17" si="57">+IF(BN15&gt;0,IF(OR(BN15&gt;$G15,ROUND(BN15,0)&gt;$G15),"NO VÁLIDA","VÁLIDA"),"NO VÁLIDA")</f>
        <v>VÁLIDA</v>
      </c>
      <c r="BQ15" s="270">
        <v>116043</v>
      </c>
      <c r="BR15" s="163">
        <f t="shared" ref="BR15:BR20" si="58">ROUND($F15*BQ15,0)</f>
        <v>56977113</v>
      </c>
      <c r="BS15" s="164" t="str">
        <f t="shared" ref="BS15:BS17" si="59">+IF(BQ15&gt;0,IF(OR(BQ15&gt;$G15,ROUND(BQ15,0)&gt;$G15),"NO VÁLIDA","VÁLIDA"),"NO VÁLIDA")</f>
        <v>VÁLIDA</v>
      </c>
    </row>
    <row r="16" spans="1:72" ht="40.5" customHeight="1" x14ac:dyDescent="0.2">
      <c r="A16" s="11"/>
      <c r="B16" s="160">
        <v>2</v>
      </c>
      <c r="C16" s="161" t="s">
        <v>124</v>
      </c>
      <c r="D16" s="298" t="s">
        <v>154</v>
      </c>
      <c r="E16" s="161" t="s">
        <v>98</v>
      </c>
      <c r="F16" s="268">
        <v>125000</v>
      </c>
      <c r="G16" s="268">
        <v>15447.000000055552</v>
      </c>
      <c r="H16" s="162">
        <f t="shared" ref="H16:H20" si="60">ROUND(G16*F16,0)</f>
        <v>1930875000</v>
      </c>
      <c r="I16" s="270">
        <v>15446</v>
      </c>
      <c r="J16" s="163">
        <f>ROUND($F16*I16,0)</f>
        <v>1930750000</v>
      </c>
      <c r="K16" s="164" t="str">
        <f t="shared" ref="K16:K20" si="61">+IF(I16&gt;0,IF(OR(I16&gt;$G16,ROUND(I16,0)&gt;$G16),"NO VÁLIDA","VÁLIDA"),"NO VÁLIDA")</f>
        <v>VÁLIDA</v>
      </c>
      <c r="L16" s="270">
        <v>15027</v>
      </c>
      <c r="M16" s="163">
        <f t="shared" si="20"/>
        <v>1878375000</v>
      </c>
      <c r="N16" s="164" t="str">
        <f t="shared" si="21"/>
        <v>VÁLIDA</v>
      </c>
      <c r="O16" s="268">
        <v>15447.000000055552</v>
      </c>
      <c r="P16" s="163">
        <f t="shared" si="22"/>
        <v>1930875000</v>
      </c>
      <c r="Q16" s="164" t="str">
        <f t="shared" si="23"/>
        <v>VÁLIDA</v>
      </c>
      <c r="R16" s="270">
        <v>15340</v>
      </c>
      <c r="S16" s="163">
        <f t="shared" si="24"/>
        <v>1917500000</v>
      </c>
      <c r="T16" s="164" t="str">
        <f t="shared" si="25"/>
        <v>VÁLIDA</v>
      </c>
      <c r="U16" s="270">
        <v>15400</v>
      </c>
      <c r="V16" s="163">
        <f t="shared" si="26"/>
        <v>1925000000</v>
      </c>
      <c r="W16" s="164" t="str">
        <f t="shared" si="27"/>
        <v>VÁLIDA</v>
      </c>
      <c r="X16" s="270">
        <v>15353</v>
      </c>
      <c r="Y16" s="163">
        <f t="shared" si="28"/>
        <v>1919125000</v>
      </c>
      <c r="Z16" s="164" t="str">
        <f t="shared" si="29"/>
        <v>VÁLIDA</v>
      </c>
      <c r="AA16" s="270"/>
      <c r="AB16" s="163">
        <f t="shared" si="30"/>
        <v>0</v>
      </c>
      <c r="AC16" s="164" t="str">
        <f t="shared" si="31"/>
        <v>NO VÁLIDA</v>
      </c>
      <c r="AD16" s="270">
        <v>15238</v>
      </c>
      <c r="AE16" s="163">
        <f t="shared" si="32"/>
        <v>1904750000</v>
      </c>
      <c r="AF16" s="164" t="str">
        <f t="shared" si="33"/>
        <v>VÁLIDA</v>
      </c>
      <c r="AG16" s="270"/>
      <c r="AH16" s="163">
        <f t="shared" si="34"/>
        <v>0</v>
      </c>
      <c r="AI16" s="164" t="str">
        <f t="shared" si="35"/>
        <v>NO VÁLIDA</v>
      </c>
      <c r="AJ16" s="270"/>
      <c r="AK16" s="163">
        <f t="shared" si="36"/>
        <v>0</v>
      </c>
      <c r="AL16" s="164" t="str">
        <f t="shared" si="37"/>
        <v>NO VÁLIDA</v>
      </c>
      <c r="AM16" s="270"/>
      <c r="AN16" s="163">
        <f t="shared" si="38"/>
        <v>0</v>
      </c>
      <c r="AO16" s="164" t="str">
        <f t="shared" si="39"/>
        <v>NO VÁLIDA</v>
      </c>
      <c r="AP16" s="270">
        <v>14000</v>
      </c>
      <c r="AQ16" s="163">
        <f t="shared" si="40"/>
        <v>1750000000</v>
      </c>
      <c r="AR16" s="164" t="str">
        <f t="shared" si="41"/>
        <v>VÁLIDA</v>
      </c>
      <c r="AS16" s="270">
        <v>15440</v>
      </c>
      <c r="AT16" s="163">
        <f t="shared" si="42"/>
        <v>1930000000</v>
      </c>
      <c r="AU16" s="164" t="str">
        <f t="shared" si="43"/>
        <v>VÁLIDA</v>
      </c>
      <c r="AV16" s="270">
        <v>15036</v>
      </c>
      <c r="AW16" s="163">
        <f t="shared" si="44"/>
        <v>1879500000</v>
      </c>
      <c r="AX16" s="164" t="str">
        <f t="shared" si="45"/>
        <v>VÁLIDA</v>
      </c>
      <c r="AY16" s="268">
        <v>15447.000000055552</v>
      </c>
      <c r="AZ16" s="163">
        <f t="shared" si="46"/>
        <v>1930875000</v>
      </c>
      <c r="BA16" s="164" t="str">
        <f t="shared" si="47"/>
        <v>VÁLIDA</v>
      </c>
      <c r="BB16" s="270">
        <v>15050</v>
      </c>
      <c r="BC16" s="163">
        <f t="shared" si="48"/>
        <v>1881250000</v>
      </c>
      <c r="BD16" s="164" t="str">
        <f t="shared" si="49"/>
        <v>VÁLIDA</v>
      </c>
      <c r="BE16" s="270"/>
      <c r="BF16" s="163">
        <f t="shared" si="50"/>
        <v>0</v>
      </c>
      <c r="BG16" s="164" t="str">
        <f t="shared" si="51"/>
        <v>NO VÁLIDA</v>
      </c>
      <c r="BH16" s="270"/>
      <c r="BI16" s="163">
        <f t="shared" si="52"/>
        <v>0</v>
      </c>
      <c r="BJ16" s="164" t="str">
        <f t="shared" si="53"/>
        <v>NO VÁLIDA</v>
      </c>
      <c r="BK16" s="270">
        <v>15289</v>
      </c>
      <c r="BL16" s="163">
        <f t="shared" si="54"/>
        <v>1911125000</v>
      </c>
      <c r="BM16" s="164" t="str">
        <f t="shared" si="55"/>
        <v>VÁLIDA</v>
      </c>
      <c r="BN16" s="270">
        <v>15289</v>
      </c>
      <c r="BO16" s="163">
        <f t="shared" si="56"/>
        <v>1911125000</v>
      </c>
      <c r="BP16" s="164" t="str">
        <f t="shared" si="57"/>
        <v>VÁLIDA</v>
      </c>
      <c r="BQ16" s="270">
        <v>15018</v>
      </c>
      <c r="BR16" s="163">
        <f t="shared" si="58"/>
        <v>1877250000</v>
      </c>
      <c r="BS16" s="164" t="str">
        <f t="shared" si="59"/>
        <v>VÁLIDA</v>
      </c>
    </row>
    <row r="17" spans="1:71" ht="30.6" customHeight="1" x14ac:dyDescent="0.2">
      <c r="A17" s="11"/>
      <c r="B17" s="160">
        <v>3</v>
      </c>
      <c r="C17" s="161" t="s">
        <v>125</v>
      </c>
      <c r="D17" s="298" t="s">
        <v>155</v>
      </c>
      <c r="E17" s="161" t="s">
        <v>98</v>
      </c>
      <c r="F17" s="268">
        <v>47290</v>
      </c>
      <c r="G17" s="268">
        <v>4748.0000166022164</v>
      </c>
      <c r="H17" s="162">
        <f t="shared" si="60"/>
        <v>224532921</v>
      </c>
      <c r="I17" s="268">
        <v>4747</v>
      </c>
      <c r="J17" s="163">
        <f>ROUND($F17*I17,0)</f>
        <v>224485630</v>
      </c>
      <c r="K17" s="164" t="str">
        <f t="shared" si="61"/>
        <v>VÁLIDA</v>
      </c>
      <c r="L17" s="270">
        <v>4748</v>
      </c>
      <c r="M17" s="163">
        <f t="shared" si="20"/>
        <v>224532920</v>
      </c>
      <c r="N17" s="164" t="str">
        <f t="shared" si="21"/>
        <v>VÁLIDA</v>
      </c>
      <c r="O17" s="268">
        <v>4748.0000166022164</v>
      </c>
      <c r="P17" s="163">
        <f t="shared" si="22"/>
        <v>224532921</v>
      </c>
      <c r="Q17" s="164" t="str">
        <f t="shared" si="23"/>
        <v>VÁLIDA</v>
      </c>
      <c r="R17" s="270">
        <v>4740</v>
      </c>
      <c r="S17" s="163">
        <f t="shared" si="24"/>
        <v>224154600</v>
      </c>
      <c r="T17" s="164" t="str">
        <f t="shared" si="25"/>
        <v>VÁLIDA</v>
      </c>
      <c r="U17" s="270">
        <v>4700</v>
      </c>
      <c r="V17" s="163">
        <f t="shared" si="26"/>
        <v>222263000</v>
      </c>
      <c r="W17" s="164" t="str">
        <f t="shared" si="27"/>
        <v>VÁLIDA</v>
      </c>
      <c r="X17" s="270">
        <v>4719</v>
      </c>
      <c r="Y17" s="163">
        <f t="shared" si="28"/>
        <v>223161510</v>
      </c>
      <c r="Z17" s="164" t="str">
        <f t="shared" si="29"/>
        <v>VÁLIDA</v>
      </c>
      <c r="AA17" s="270"/>
      <c r="AB17" s="163">
        <f t="shared" si="30"/>
        <v>0</v>
      </c>
      <c r="AC17" s="164" t="str">
        <f t="shared" si="31"/>
        <v>NO VÁLIDA</v>
      </c>
      <c r="AD17" s="270">
        <v>4684</v>
      </c>
      <c r="AE17" s="163">
        <f t="shared" si="32"/>
        <v>221506360</v>
      </c>
      <c r="AF17" s="164" t="str">
        <f t="shared" si="33"/>
        <v>VÁLIDA</v>
      </c>
      <c r="AG17" s="270"/>
      <c r="AH17" s="163">
        <f t="shared" si="34"/>
        <v>0</v>
      </c>
      <c r="AI17" s="164" t="str">
        <f t="shared" si="35"/>
        <v>NO VÁLIDA</v>
      </c>
      <c r="AJ17" s="270"/>
      <c r="AK17" s="163">
        <f t="shared" si="36"/>
        <v>0</v>
      </c>
      <c r="AL17" s="164" t="str">
        <f t="shared" si="37"/>
        <v>NO VÁLIDA</v>
      </c>
      <c r="AM17" s="270"/>
      <c r="AN17" s="163">
        <f t="shared" si="38"/>
        <v>0</v>
      </c>
      <c r="AO17" s="164" t="str">
        <f t="shared" si="39"/>
        <v>NO VÁLIDA</v>
      </c>
      <c r="AP17" s="270">
        <v>4748</v>
      </c>
      <c r="AQ17" s="163">
        <f t="shared" si="40"/>
        <v>224532920</v>
      </c>
      <c r="AR17" s="164" t="str">
        <f t="shared" si="41"/>
        <v>VÁLIDA</v>
      </c>
      <c r="AS17" s="270">
        <v>4748</v>
      </c>
      <c r="AT17" s="163">
        <f t="shared" si="42"/>
        <v>224532920</v>
      </c>
      <c r="AU17" s="164" t="str">
        <f t="shared" si="43"/>
        <v>VÁLIDA</v>
      </c>
      <c r="AV17" s="270">
        <v>4622</v>
      </c>
      <c r="AW17" s="163">
        <f t="shared" si="44"/>
        <v>218574380</v>
      </c>
      <c r="AX17" s="164" t="str">
        <f t="shared" si="45"/>
        <v>VÁLIDA</v>
      </c>
      <c r="AY17" s="268">
        <v>4748.0000166022164</v>
      </c>
      <c r="AZ17" s="163">
        <f t="shared" si="46"/>
        <v>224532921</v>
      </c>
      <c r="BA17" s="164" t="str">
        <f t="shared" si="47"/>
        <v>VÁLIDA</v>
      </c>
      <c r="BB17" s="270">
        <v>4600</v>
      </c>
      <c r="BC17" s="163">
        <f t="shared" si="48"/>
        <v>217534000</v>
      </c>
      <c r="BD17" s="164" t="str">
        <f t="shared" si="49"/>
        <v>VÁLIDA</v>
      </c>
      <c r="BE17" s="270"/>
      <c r="BF17" s="163">
        <f t="shared" si="50"/>
        <v>0</v>
      </c>
      <c r="BG17" s="164" t="str">
        <f t="shared" si="51"/>
        <v>NO VÁLIDA</v>
      </c>
      <c r="BH17" s="270"/>
      <c r="BI17" s="163">
        <f t="shared" si="52"/>
        <v>0</v>
      </c>
      <c r="BJ17" s="164" t="str">
        <f t="shared" si="53"/>
        <v>NO VÁLIDA</v>
      </c>
      <c r="BK17" s="270">
        <v>4699</v>
      </c>
      <c r="BL17" s="163">
        <f t="shared" si="54"/>
        <v>222215710</v>
      </c>
      <c r="BM17" s="164" t="str">
        <f t="shared" si="55"/>
        <v>VÁLIDA</v>
      </c>
      <c r="BN17" s="270">
        <v>4700</v>
      </c>
      <c r="BO17" s="163">
        <f t="shared" si="56"/>
        <v>222263000</v>
      </c>
      <c r="BP17" s="164" t="str">
        <f t="shared" si="57"/>
        <v>VÁLIDA</v>
      </c>
      <c r="BQ17" s="270">
        <v>4616</v>
      </c>
      <c r="BR17" s="163">
        <f t="shared" si="58"/>
        <v>218290640</v>
      </c>
      <c r="BS17" s="164" t="str">
        <f t="shared" si="59"/>
        <v>VÁLIDA</v>
      </c>
    </row>
    <row r="18" spans="1:71" ht="30.6" customHeight="1" x14ac:dyDescent="0.2">
      <c r="A18" s="11"/>
      <c r="B18" s="160">
        <v>4</v>
      </c>
      <c r="C18" s="161" t="s">
        <v>127</v>
      </c>
      <c r="D18" s="298" t="s">
        <v>156</v>
      </c>
      <c r="E18" s="161" t="s">
        <v>98</v>
      </c>
      <c r="F18" s="268">
        <v>36375</v>
      </c>
      <c r="G18" s="268">
        <v>11016.920206707888</v>
      </c>
      <c r="H18" s="162">
        <f t="shared" si="60"/>
        <v>400740473</v>
      </c>
      <c r="I18" s="268">
        <v>11004</v>
      </c>
      <c r="J18" s="163">
        <f t="shared" ref="J18:J20" si="62">ROUND($F18*I18,0)</f>
        <v>400270500</v>
      </c>
      <c r="K18" s="164" t="str">
        <f>+IF(I18&gt;0,IF(OR(I18&gt;$G18),"NO VÁLIDA","VÁLIDA"),"NO VÁLIDA")</f>
        <v>VÁLIDA</v>
      </c>
      <c r="L18" s="270">
        <v>10848</v>
      </c>
      <c r="M18" s="163">
        <f t="shared" si="20"/>
        <v>394596000</v>
      </c>
      <c r="N18" s="164" t="str">
        <f t="shared" ref="N18" si="63">+IF(L18&gt;0,IF(OR(L18&gt;$G18),"NO VÁLIDA","VÁLIDA"),"NO VÁLIDA")</f>
        <v>VÁLIDA</v>
      </c>
      <c r="O18" s="268">
        <v>11016.920206707888</v>
      </c>
      <c r="P18" s="163">
        <f t="shared" si="22"/>
        <v>400740473</v>
      </c>
      <c r="Q18" s="164" t="str">
        <f t="shared" ref="Q18" si="64">+IF(O18&gt;0,IF(OR(O18&gt;$G18),"NO VÁLIDA","VÁLIDA"),"NO VÁLIDA")</f>
        <v>VÁLIDA</v>
      </c>
      <c r="R18" s="270">
        <v>11010</v>
      </c>
      <c r="S18" s="163">
        <f t="shared" si="24"/>
        <v>400488750</v>
      </c>
      <c r="T18" s="164" t="str">
        <f t="shared" ref="T18" si="65">+IF(R18&gt;0,IF(OR(R18&gt;$G18),"NO VÁLIDA","VÁLIDA"),"NO VÁLIDA")</f>
        <v>VÁLIDA</v>
      </c>
      <c r="U18" s="270">
        <v>11000</v>
      </c>
      <c r="V18" s="163">
        <f t="shared" si="26"/>
        <v>400125000</v>
      </c>
      <c r="W18" s="164" t="str">
        <f t="shared" ref="W18" si="66">+IF(U18&gt;0,IF(OR(U18&gt;$G18),"NO VÁLIDA","VÁLIDA"),"NO VÁLIDA")</f>
        <v>VÁLIDA</v>
      </c>
      <c r="X18" s="270">
        <v>10950</v>
      </c>
      <c r="Y18" s="163">
        <f t="shared" si="28"/>
        <v>398306250</v>
      </c>
      <c r="Z18" s="164" t="str">
        <f t="shared" ref="Z18" si="67">+IF(X18&gt;0,IF(OR(X18&gt;$G18),"NO VÁLIDA","VÁLIDA"),"NO VÁLIDA")</f>
        <v>VÁLIDA</v>
      </c>
      <c r="AA18" s="270"/>
      <c r="AB18" s="163">
        <f t="shared" si="30"/>
        <v>0</v>
      </c>
      <c r="AC18" s="164" t="str">
        <f t="shared" ref="AC18" si="68">+IF(AA18&gt;0,IF(OR(AA18&gt;$G18),"NO VÁLIDA","VÁLIDA"),"NO VÁLIDA")</f>
        <v>NO VÁLIDA</v>
      </c>
      <c r="AD18" s="270">
        <v>10868</v>
      </c>
      <c r="AE18" s="163">
        <f t="shared" si="32"/>
        <v>395323500</v>
      </c>
      <c r="AF18" s="164" t="str">
        <f t="shared" ref="AF18" si="69">+IF(AD18&gt;0,IF(OR(AD18&gt;$G18),"NO VÁLIDA","VÁLIDA"),"NO VÁLIDA")</f>
        <v>VÁLIDA</v>
      </c>
      <c r="AG18" s="270"/>
      <c r="AH18" s="163">
        <f t="shared" si="34"/>
        <v>0</v>
      </c>
      <c r="AI18" s="164" t="str">
        <f t="shared" ref="AI18" si="70">+IF(AG18&gt;0,IF(OR(AG18&gt;$G18),"NO VÁLIDA","VÁLIDA"),"NO VÁLIDA")</f>
        <v>NO VÁLIDA</v>
      </c>
      <c r="AJ18" s="270"/>
      <c r="AK18" s="163">
        <f t="shared" si="36"/>
        <v>0</v>
      </c>
      <c r="AL18" s="164" t="str">
        <f t="shared" ref="AL18" si="71">+IF(AJ18&gt;0,IF(OR(AJ18&gt;$G18),"NO VÁLIDA","VÁLIDA"),"NO VÁLIDA")</f>
        <v>NO VÁLIDA</v>
      </c>
      <c r="AM18" s="270"/>
      <c r="AN18" s="163">
        <f t="shared" si="38"/>
        <v>0</v>
      </c>
      <c r="AO18" s="164" t="str">
        <f t="shared" ref="AO18" si="72">+IF(AM18&gt;0,IF(OR(AM18&gt;$G18),"NO VÁLIDA","VÁLIDA"),"NO VÁLIDA")</f>
        <v>NO VÁLIDA</v>
      </c>
      <c r="AP18" s="268">
        <v>11016.920206707888</v>
      </c>
      <c r="AQ18" s="163">
        <f t="shared" si="40"/>
        <v>400740473</v>
      </c>
      <c r="AR18" s="164" t="str">
        <f t="shared" ref="AR18" si="73">+IF(AP18&gt;0,IF(OR(AP18&gt;$G18),"NO VÁLIDA","VÁLIDA"),"NO VÁLIDA")</f>
        <v>VÁLIDA</v>
      </c>
      <c r="AS18" s="270">
        <v>11000</v>
      </c>
      <c r="AT18" s="163">
        <f t="shared" si="42"/>
        <v>400125000</v>
      </c>
      <c r="AU18" s="164" t="str">
        <f t="shared" ref="AU18" si="74">+IF(AS18&gt;0,IF(OR(AS18&gt;$G18),"NO VÁLIDA","VÁLIDA"),"NO VÁLIDA")</f>
        <v>VÁLIDA</v>
      </c>
      <c r="AV18" s="270">
        <v>10724</v>
      </c>
      <c r="AW18" s="163">
        <f t="shared" si="44"/>
        <v>390085500</v>
      </c>
      <c r="AX18" s="164" t="str">
        <f t="shared" ref="AX18" si="75">+IF(AV18&gt;0,IF(OR(AV18&gt;$G18),"NO VÁLIDA","VÁLIDA"),"NO VÁLIDA")</f>
        <v>VÁLIDA</v>
      </c>
      <c r="AY18" s="268">
        <v>11016.920206707888</v>
      </c>
      <c r="AZ18" s="163">
        <f t="shared" si="46"/>
        <v>400740473</v>
      </c>
      <c r="BA18" s="164" t="str">
        <f t="shared" ref="BA18" si="76">+IF(AY18&gt;0,IF(OR(AY18&gt;$G18),"NO VÁLIDA","VÁLIDA"),"NO VÁLIDA")</f>
        <v>VÁLIDA</v>
      </c>
      <c r="BB18" s="270">
        <v>11000</v>
      </c>
      <c r="BC18" s="163">
        <f t="shared" si="48"/>
        <v>400125000</v>
      </c>
      <c r="BD18" s="164" t="str">
        <f t="shared" ref="BD18" si="77">+IF(BB18&gt;0,IF(OR(BB18&gt;$G18),"NO VÁLIDA","VÁLIDA"),"NO VÁLIDA")</f>
        <v>VÁLIDA</v>
      </c>
      <c r="BE18" s="270"/>
      <c r="BF18" s="163">
        <f t="shared" si="50"/>
        <v>0</v>
      </c>
      <c r="BG18" s="164" t="str">
        <f t="shared" ref="BG18" si="78">+IF(BE18&gt;0,IF(OR(BE18&gt;$G18),"NO VÁLIDA","VÁLIDA"),"NO VÁLIDA")</f>
        <v>NO VÁLIDA</v>
      </c>
      <c r="BH18" s="270"/>
      <c r="BI18" s="163">
        <f t="shared" si="52"/>
        <v>0</v>
      </c>
      <c r="BJ18" s="164" t="str">
        <f t="shared" ref="BJ18" si="79">+IF(BH18&gt;0,IF(OR(BH18&gt;$G18),"NO VÁLIDA","VÁLIDA"),"NO VÁLIDA")</f>
        <v>NO VÁLIDA</v>
      </c>
      <c r="BK18" s="270">
        <v>10904</v>
      </c>
      <c r="BL18" s="163">
        <f t="shared" si="54"/>
        <v>396633000</v>
      </c>
      <c r="BM18" s="164" t="str">
        <f t="shared" ref="BM18" si="80">+IF(BK18&gt;0,IF(OR(BK18&gt;$G18),"NO VÁLIDA","VÁLIDA"),"NO VÁLIDA")</f>
        <v>VÁLIDA</v>
      </c>
      <c r="BN18" s="270">
        <v>10905</v>
      </c>
      <c r="BO18" s="163">
        <f t="shared" si="56"/>
        <v>396669375</v>
      </c>
      <c r="BP18" s="164" t="str">
        <f t="shared" ref="BP18" si="81">+IF(BN18&gt;0,IF(OR(BN18&gt;$G18),"NO VÁLIDA","VÁLIDA"),"NO VÁLIDA")</f>
        <v>VÁLIDA</v>
      </c>
      <c r="BQ18" s="270">
        <v>10711</v>
      </c>
      <c r="BR18" s="163">
        <f t="shared" si="58"/>
        <v>389612625</v>
      </c>
      <c r="BS18" s="164" t="str">
        <f t="shared" ref="BS18" si="82">+IF(BQ18&gt;0,IF(OR(BQ18&gt;$G18),"NO VÁLIDA","VÁLIDA"),"NO VÁLIDA")</f>
        <v>VÁLIDA</v>
      </c>
    </row>
    <row r="19" spans="1:71" ht="30.6" customHeight="1" x14ac:dyDescent="0.2">
      <c r="A19" s="11"/>
      <c r="B19" s="160">
        <v>5</v>
      </c>
      <c r="C19" s="161" t="s">
        <v>146</v>
      </c>
      <c r="D19" s="298" t="s">
        <v>157</v>
      </c>
      <c r="E19" s="161" t="s">
        <v>98</v>
      </c>
      <c r="F19" s="268">
        <v>36375</v>
      </c>
      <c r="G19" s="268">
        <v>49227</v>
      </c>
      <c r="H19" s="162">
        <f t="shared" si="60"/>
        <v>1790632125</v>
      </c>
      <c r="I19" s="270">
        <v>49227</v>
      </c>
      <c r="J19" s="163">
        <f t="shared" si="62"/>
        <v>1790632125</v>
      </c>
      <c r="K19" s="164" t="str">
        <f t="shared" si="61"/>
        <v>VÁLIDA</v>
      </c>
      <c r="L19" s="270">
        <v>48561</v>
      </c>
      <c r="M19" s="163">
        <f t="shared" si="20"/>
        <v>1766406375</v>
      </c>
      <c r="N19" s="164" t="str">
        <f t="shared" ref="N19:N20" si="83">+IF(L19&gt;0,IF(OR(L19&gt;$G19,ROUND(L19,0)&gt;$G19),"NO VÁLIDA","VÁLIDA"),"NO VÁLIDA")</f>
        <v>VÁLIDA</v>
      </c>
      <c r="O19" s="270">
        <v>49227</v>
      </c>
      <c r="P19" s="163">
        <f t="shared" si="22"/>
        <v>1790632125</v>
      </c>
      <c r="Q19" s="164" t="str">
        <f t="shared" ref="Q19:Q20" si="84">+IF(O19&gt;0,IF(OR(O19&gt;$G19,ROUND(O19,0)&gt;$G19),"NO VÁLIDA","VÁLIDA"),"NO VÁLIDA")</f>
        <v>VÁLIDA</v>
      </c>
      <c r="R19" s="270">
        <v>48960</v>
      </c>
      <c r="S19" s="163">
        <f t="shared" si="24"/>
        <v>1780920000</v>
      </c>
      <c r="T19" s="164" t="str">
        <f t="shared" ref="T19:T20" si="85">+IF(R19&gt;0,IF(OR(R19&gt;$G19,ROUND(R19,0)&gt;$G19),"NO VÁLIDA","VÁLIDA"),"NO VÁLIDA")</f>
        <v>VÁLIDA</v>
      </c>
      <c r="U19" s="270">
        <v>49000</v>
      </c>
      <c r="V19" s="163">
        <f t="shared" si="26"/>
        <v>1782375000</v>
      </c>
      <c r="W19" s="164" t="str">
        <f t="shared" ref="W19:W20" si="86">+IF(U19&gt;0,IF(OR(U19&gt;$G19,ROUND(U19,0)&gt;$G19),"NO VÁLIDA","VÁLIDA"),"NO VÁLIDA")</f>
        <v>VÁLIDA</v>
      </c>
      <c r="X19" s="270">
        <v>48926</v>
      </c>
      <c r="Y19" s="163">
        <f t="shared" si="28"/>
        <v>1779683250</v>
      </c>
      <c r="Z19" s="164" t="str">
        <f t="shared" ref="Z19:Z20" si="87">+IF(X19&gt;0,IF(OR(X19&gt;$G19,ROUND(X19,0)&gt;$G19),"NO VÁLIDA","VÁLIDA"),"NO VÁLIDA")</f>
        <v>VÁLIDA</v>
      </c>
      <c r="AA19" s="270"/>
      <c r="AB19" s="163">
        <f t="shared" si="30"/>
        <v>0</v>
      </c>
      <c r="AC19" s="164" t="str">
        <f t="shared" ref="AC19:AC20" si="88">+IF(AA19&gt;0,IF(OR(AA19&gt;$G19,ROUND(AA19,0)&gt;$G19),"NO VÁLIDA","VÁLIDA"),"NO VÁLIDA")</f>
        <v>NO VÁLIDA</v>
      </c>
      <c r="AD19" s="270">
        <v>48562</v>
      </c>
      <c r="AE19" s="163">
        <f t="shared" si="32"/>
        <v>1766442750</v>
      </c>
      <c r="AF19" s="164" t="str">
        <f t="shared" ref="AF19:AF20" si="89">+IF(AD19&gt;0,IF(OR(AD19&gt;$G19,ROUND(AD19,0)&gt;$G19),"NO VÁLIDA","VÁLIDA"),"NO VÁLIDA")</f>
        <v>VÁLIDA</v>
      </c>
      <c r="AG19" s="270"/>
      <c r="AH19" s="163">
        <f t="shared" si="34"/>
        <v>0</v>
      </c>
      <c r="AI19" s="164" t="str">
        <f t="shared" ref="AI19:AI20" si="90">+IF(AG19&gt;0,IF(OR(AG19&gt;$G19,ROUND(AG19,0)&gt;$G19),"NO VÁLIDA","VÁLIDA"),"NO VÁLIDA")</f>
        <v>NO VÁLIDA</v>
      </c>
      <c r="AJ19" s="270"/>
      <c r="AK19" s="163">
        <f t="shared" si="36"/>
        <v>0</v>
      </c>
      <c r="AL19" s="164" t="str">
        <f t="shared" ref="AL19:AL20" si="91">+IF(AJ19&gt;0,IF(OR(AJ19&gt;$G19,ROUND(AJ19,0)&gt;$G19),"NO VÁLIDA","VÁLIDA"),"NO VÁLIDA")</f>
        <v>NO VÁLIDA</v>
      </c>
      <c r="AM19" s="270"/>
      <c r="AN19" s="163">
        <f t="shared" si="38"/>
        <v>0</v>
      </c>
      <c r="AO19" s="164" t="str">
        <f t="shared" ref="AO19:AO20" si="92">+IF(AM19&gt;0,IF(OR(AM19&gt;$G19,ROUND(AM19,0)&gt;$G19),"NO VÁLIDA","VÁLIDA"),"NO VÁLIDA")</f>
        <v>NO VÁLIDA</v>
      </c>
      <c r="AP19" s="270">
        <v>45000</v>
      </c>
      <c r="AQ19" s="163">
        <f t="shared" si="40"/>
        <v>1636875000</v>
      </c>
      <c r="AR19" s="164" t="str">
        <f t="shared" ref="AR19:AR20" si="93">+IF(AP19&gt;0,IF(OR(AP19&gt;$G19,ROUND(AP19,0)&gt;$G19),"NO VÁLIDA","VÁLIDA"),"NO VÁLIDA")</f>
        <v>VÁLIDA</v>
      </c>
      <c r="AS19" s="270">
        <v>48650</v>
      </c>
      <c r="AT19" s="163">
        <f t="shared" si="42"/>
        <v>1769643750</v>
      </c>
      <c r="AU19" s="164" t="str">
        <f t="shared" ref="AU19:AU20" si="94">+IF(AS19&gt;0,IF(OR(AS19&gt;$G19,ROUND(AS19,0)&gt;$G19),"NO VÁLIDA","VÁLIDA"),"NO VÁLIDA")</f>
        <v>VÁLIDA</v>
      </c>
      <c r="AV19" s="270">
        <v>47916</v>
      </c>
      <c r="AW19" s="163">
        <f t="shared" si="44"/>
        <v>1742944500</v>
      </c>
      <c r="AX19" s="164" t="str">
        <f t="shared" ref="AX19:AX20" si="95">+IF(AV19&gt;0,IF(OR(AV19&gt;$G19,ROUND(AV19,0)&gt;$G19),"NO VÁLIDA","VÁLIDA"),"NO VÁLIDA")</f>
        <v>VÁLIDA</v>
      </c>
      <c r="AY19" s="268">
        <v>49227</v>
      </c>
      <c r="AZ19" s="163">
        <f t="shared" si="46"/>
        <v>1790632125</v>
      </c>
      <c r="BA19" s="164" t="str">
        <f t="shared" ref="BA19:BA20" si="96">+IF(AY19&gt;0,IF(OR(AY19&gt;$G19,ROUND(AY19,0)&gt;$G19),"NO VÁLIDA","VÁLIDA"),"NO VÁLIDA")</f>
        <v>VÁLIDA</v>
      </c>
      <c r="BB19" s="270">
        <v>47700</v>
      </c>
      <c r="BC19" s="163">
        <f t="shared" si="48"/>
        <v>1735087500</v>
      </c>
      <c r="BD19" s="164" t="str">
        <f t="shared" ref="BD19:BD20" si="97">+IF(BB19&gt;0,IF(OR(BB19&gt;$G19,ROUND(BB19,0)&gt;$G19),"NO VÁLIDA","VÁLIDA"),"NO VÁLIDA")</f>
        <v>VÁLIDA</v>
      </c>
      <c r="BE19" s="270"/>
      <c r="BF19" s="163">
        <f t="shared" si="50"/>
        <v>0</v>
      </c>
      <c r="BG19" s="164" t="str">
        <f t="shared" ref="BG19:BG20" si="98">+IF(BE19&gt;0,IF(OR(BE19&gt;$G19,ROUND(BE19,0)&gt;$G19),"NO VÁLIDA","VÁLIDA"),"NO VÁLIDA")</f>
        <v>NO VÁLIDA</v>
      </c>
      <c r="BH19" s="270"/>
      <c r="BI19" s="163">
        <f t="shared" si="52"/>
        <v>0</v>
      </c>
      <c r="BJ19" s="164" t="str">
        <f t="shared" ref="BJ19:BJ20" si="99">+IF(BH19&gt;0,IF(OR(BH19&gt;$G19,ROUND(BH19,0)&gt;$G19),"NO VÁLIDA","VÁLIDA"),"NO VÁLIDA")</f>
        <v>NO VÁLIDA</v>
      </c>
      <c r="BK19" s="270">
        <v>48722</v>
      </c>
      <c r="BL19" s="163">
        <f t="shared" si="54"/>
        <v>1772262750</v>
      </c>
      <c r="BM19" s="164" t="str">
        <f t="shared" ref="BM19:BM20" si="100">+IF(BK19&gt;0,IF(OR(BK19&gt;$G19,ROUND(BK19,0)&gt;$G19),"NO VÁLIDA","VÁLIDA"),"NO VÁLIDA")</f>
        <v>VÁLIDA</v>
      </c>
      <c r="BN19" s="270">
        <v>48725</v>
      </c>
      <c r="BO19" s="163">
        <f t="shared" si="56"/>
        <v>1772371875</v>
      </c>
      <c r="BP19" s="164" t="str">
        <f t="shared" ref="BP19:BP20" si="101">+IF(BN19&gt;0,IF(OR(BN19&gt;$G19,ROUND(BN19,0)&gt;$G19),"NO VÁLIDA","VÁLIDA"),"NO VÁLIDA")</f>
        <v>VÁLIDA</v>
      </c>
      <c r="BQ19" s="270">
        <v>47858</v>
      </c>
      <c r="BR19" s="163">
        <f t="shared" si="58"/>
        <v>1740834750</v>
      </c>
      <c r="BS19" s="164" t="str">
        <f t="shared" ref="BS19:BS20" si="102">+IF(BQ19&gt;0,IF(OR(BQ19&gt;$G19,ROUND(BQ19,0)&gt;$G19),"NO VÁLIDA","VÁLIDA"),"NO VÁLIDA")</f>
        <v>VÁLIDA</v>
      </c>
    </row>
    <row r="20" spans="1:71" ht="30.6" customHeight="1" thickBot="1" x14ac:dyDescent="0.25">
      <c r="A20" s="11"/>
      <c r="B20" s="160">
        <v>6</v>
      </c>
      <c r="C20" s="161" t="s">
        <v>126</v>
      </c>
      <c r="D20" s="298" t="s">
        <v>158</v>
      </c>
      <c r="E20" s="161" t="s">
        <v>98</v>
      </c>
      <c r="F20" s="268">
        <v>7561</v>
      </c>
      <c r="G20" s="268">
        <v>10674.216647357385</v>
      </c>
      <c r="H20" s="162">
        <f t="shared" si="60"/>
        <v>80707752</v>
      </c>
      <c r="I20" s="268">
        <v>10669</v>
      </c>
      <c r="J20" s="163">
        <f t="shared" si="62"/>
        <v>80668309</v>
      </c>
      <c r="K20" s="164" t="str">
        <f t="shared" si="61"/>
        <v>VÁLIDA</v>
      </c>
      <c r="L20" s="270">
        <v>10320</v>
      </c>
      <c r="M20" s="163">
        <f t="shared" si="20"/>
        <v>78029520</v>
      </c>
      <c r="N20" s="164" t="str">
        <f t="shared" si="83"/>
        <v>VÁLIDA</v>
      </c>
      <c r="O20" s="268">
        <v>10674.216647357385</v>
      </c>
      <c r="P20" s="163">
        <f t="shared" si="22"/>
        <v>80707752</v>
      </c>
      <c r="Q20" s="164" t="str">
        <f t="shared" si="84"/>
        <v>VÁLIDA</v>
      </c>
      <c r="R20" s="270">
        <v>10670</v>
      </c>
      <c r="S20" s="163">
        <f t="shared" si="24"/>
        <v>80675870</v>
      </c>
      <c r="T20" s="164" t="str">
        <f t="shared" si="85"/>
        <v>VÁLIDA</v>
      </c>
      <c r="U20" s="270">
        <v>10500</v>
      </c>
      <c r="V20" s="163">
        <f t="shared" si="26"/>
        <v>79390500</v>
      </c>
      <c r="W20" s="164" t="str">
        <f t="shared" si="86"/>
        <v>VÁLIDA</v>
      </c>
      <c r="X20" s="270">
        <v>10609</v>
      </c>
      <c r="Y20" s="163">
        <f t="shared" si="28"/>
        <v>80214649</v>
      </c>
      <c r="Z20" s="164" t="str">
        <f t="shared" si="87"/>
        <v>VÁLIDA</v>
      </c>
      <c r="AA20" s="270"/>
      <c r="AB20" s="163">
        <f t="shared" si="30"/>
        <v>0</v>
      </c>
      <c r="AC20" s="164" t="str">
        <f t="shared" si="88"/>
        <v>NO VÁLIDA</v>
      </c>
      <c r="AD20" s="270">
        <v>10530</v>
      </c>
      <c r="AE20" s="163">
        <f t="shared" si="32"/>
        <v>79617330</v>
      </c>
      <c r="AF20" s="164" t="str">
        <f t="shared" si="89"/>
        <v>VÁLIDA</v>
      </c>
      <c r="AG20" s="270"/>
      <c r="AH20" s="163">
        <f t="shared" si="34"/>
        <v>0</v>
      </c>
      <c r="AI20" s="164" t="str">
        <f t="shared" si="90"/>
        <v>NO VÁLIDA</v>
      </c>
      <c r="AJ20" s="270"/>
      <c r="AK20" s="163">
        <f t="shared" si="36"/>
        <v>0</v>
      </c>
      <c r="AL20" s="164" t="str">
        <f t="shared" si="91"/>
        <v>NO VÁLIDA</v>
      </c>
      <c r="AM20" s="270"/>
      <c r="AN20" s="163">
        <f t="shared" si="38"/>
        <v>0</v>
      </c>
      <c r="AO20" s="164" t="str">
        <f t="shared" si="92"/>
        <v>NO VÁLIDA</v>
      </c>
      <c r="AP20" s="270">
        <v>10674</v>
      </c>
      <c r="AQ20" s="163">
        <f t="shared" si="40"/>
        <v>80706114</v>
      </c>
      <c r="AR20" s="164" t="str">
        <f t="shared" si="93"/>
        <v>VÁLIDA</v>
      </c>
      <c r="AS20" s="270">
        <v>10600</v>
      </c>
      <c r="AT20" s="163">
        <f t="shared" si="42"/>
        <v>80146600</v>
      </c>
      <c r="AU20" s="164" t="str">
        <f t="shared" si="94"/>
        <v>VÁLIDA</v>
      </c>
      <c r="AV20" s="270">
        <v>10390</v>
      </c>
      <c r="AW20" s="163">
        <f t="shared" si="44"/>
        <v>78558790</v>
      </c>
      <c r="AX20" s="164" t="str">
        <f t="shared" si="95"/>
        <v>VÁLIDA</v>
      </c>
      <c r="AY20" s="268">
        <v>10674.216647357385</v>
      </c>
      <c r="AZ20" s="163">
        <f t="shared" si="46"/>
        <v>80707752</v>
      </c>
      <c r="BA20" s="164" t="str">
        <f t="shared" si="96"/>
        <v>VÁLIDA</v>
      </c>
      <c r="BB20" s="270">
        <v>10550</v>
      </c>
      <c r="BC20" s="163">
        <f t="shared" si="48"/>
        <v>79768550</v>
      </c>
      <c r="BD20" s="164" t="str">
        <f t="shared" si="97"/>
        <v>VÁLIDA</v>
      </c>
      <c r="BE20" s="270"/>
      <c r="BF20" s="163">
        <f t="shared" si="50"/>
        <v>0</v>
      </c>
      <c r="BG20" s="164" t="str">
        <f t="shared" si="98"/>
        <v>NO VÁLIDA</v>
      </c>
      <c r="BH20" s="270"/>
      <c r="BI20" s="163">
        <f t="shared" si="52"/>
        <v>0</v>
      </c>
      <c r="BJ20" s="164" t="str">
        <f t="shared" si="99"/>
        <v>NO VÁLIDA</v>
      </c>
      <c r="BK20" s="270">
        <v>10565</v>
      </c>
      <c r="BL20" s="163">
        <f t="shared" si="54"/>
        <v>79881965</v>
      </c>
      <c r="BM20" s="164" t="str">
        <f t="shared" si="100"/>
        <v>VÁLIDA</v>
      </c>
      <c r="BN20" s="270">
        <v>10565</v>
      </c>
      <c r="BO20" s="163">
        <f t="shared" si="56"/>
        <v>79881965</v>
      </c>
      <c r="BP20" s="164" t="str">
        <f t="shared" si="101"/>
        <v>VÁLIDA</v>
      </c>
      <c r="BQ20" s="270">
        <v>10377</v>
      </c>
      <c r="BR20" s="163">
        <f t="shared" si="58"/>
        <v>78460497</v>
      </c>
      <c r="BS20" s="164" t="str">
        <f t="shared" si="102"/>
        <v>VÁLIDA</v>
      </c>
    </row>
    <row r="21" spans="1:71" ht="20.45" customHeight="1" x14ac:dyDescent="0.2">
      <c r="A21" s="11"/>
      <c r="B21" s="158" t="s">
        <v>138</v>
      </c>
      <c r="C21" s="159"/>
      <c r="D21" s="159"/>
      <c r="E21" s="159"/>
      <c r="F21" s="269"/>
      <c r="G21" s="269"/>
      <c r="H21" s="186">
        <f>SUM(H22:H23)</f>
        <v>1872678198</v>
      </c>
      <c r="I21" s="271"/>
      <c r="J21" s="188">
        <f>SUM(J22:J23)</f>
        <v>1872618045</v>
      </c>
      <c r="K21" s="189"/>
      <c r="L21" s="271"/>
      <c r="M21" s="188">
        <f t="shared" ref="M21" si="103">SUM(M22:M23)</f>
        <v>1872683240</v>
      </c>
      <c r="N21" s="189"/>
      <c r="O21" s="271"/>
      <c r="P21" s="188">
        <f t="shared" ref="P21" si="104">SUM(P22:P23)</f>
        <v>1872678198</v>
      </c>
      <c r="Q21" s="189"/>
      <c r="R21" s="271"/>
      <c r="S21" s="188">
        <f t="shared" ref="S21" si="105">SUM(S22:S23)</f>
        <v>1826501400</v>
      </c>
      <c r="T21" s="189"/>
      <c r="U21" s="271"/>
      <c r="V21" s="188">
        <f t="shared" ref="V21" si="106">SUM(V22:V23)</f>
        <v>1870772500</v>
      </c>
      <c r="W21" s="189"/>
      <c r="X21" s="271"/>
      <c r="Y21" s="188">
        <f t="shared" ref="Y21" si="107">SUM(Y22:Y23)</f>
        <v>1861229590</v>
      </c>
      <c r="Z21" s="189"/>
      <c r="AA21" s="271"/>
      <c r="AB21" s="188">
        <f t="shared" ref="AB21" si="108">SUM(AB22:AB23)</f>
        <v>0</v>
      </c>
      <c r="AC21" s="189"/>
      <c r="AD21" s="271"/>
      <c r="AE21" s="188">
        <f t="shared" ref="AE21" si="109">SUM(AE22:AE23)</f>
        <v>1847390065</v>
      </c>
      <c r="AF21" s="189"/>
      <c r="AG21" s="271"/>
      <c r="AH21" s="188">
        <f t="shared" ref="AH21" si="110">SUM(AH22:AH23)</f>
        <v>0</v>
      </c>
      <c r="AI21" s="189"/>
      <c r="AJ21" s="271"/>
      <c r="AK21" s="188">
        <f t="shared" ref="AK21" si="111">SUM(AK22:AK23)</f>
        <v>0</v>
      </c>
      <c r="AL21" s="189"/>
      <c r="AM21" s="271"/>
      <c r="AN21" s="188">
        <f t="shared" ref="AN21" si="112">SUM(AN22:AN23)</f>
        <v>0</v>
      </c>
      <c r="AO21" s="189"/>
      <c r="AP21" s="271"/>
      <c r="AQ21" s="188">
        <f t="shared" ref="AQ21" si="113">SUM(AQ22:AQ23)</f>
        <v>1813700000</v>
      </c>
      <c r="AR21" s="189"/>
      <c r="AS21" s="271"/>
      <c r="AT21" s="188">
        <f t="shared" ref="AT21" si="114">SUM(AT22:AT23)</f>
        <v>1870772500</v>
      </c>
      <c r="AU21" s="189"/>
      <c r="AV21" s="271"/>
      <c r="AW21" s="188">
        <f t="shared" ref="AW21" si="115">SUM(AW22:AW23)</f>
        <v>1822822225</v>
      </c>
      <c r="AX21" s="189"/>
      <c r="AY21" s="271"/>
      <c r="AZ21" s="188">
        <f t="shared" ref="AZ21" si="116">SUM(AZ22:AZ23)</f>
        <v>1872678198</v>
      </c>
      <c r="BA21" s="189"/>
      <c r="BB21" s="271"/>
      <c r="BC21" s="188">
        <f t="shared" ref="BC21" si="117">SUM(BC22:BC23)</f>
        <v>1881991000</v>
      </c>
      <c r="BD21" s="189"/>
      <c r="BE21" s="271"/>
      <c r="BF21" s="188">
        <f t="shared" ref="BF21" si="118">SUM(BF22:BF23)</f>
        <v>0</v>
      </c>
      <c r="BG21" s="189"/>
      <c r="BH21" s="271"/>
      <c r="BI21" s="188">
        <f t="shared" ref="BI21" si="119">SUM(BI22:BI23)</f>
        <v>0</v>
      </c>
      <c r="BJ21" s="189"/>
      <c r="BK21" s="271"/>
      <c r="BL21" s="188">
        <f t="shared" ref="BL21" si="120">SUM(BL22:BL23)</f>
        <v>1853469985</v>
      </c>
      <c r="BM21" s="189"/>
      <c r="BN21" s="271"/>
      <c r="BO21" s="188">
        <f t="shared" ref="BO21" si="121">SUM(BO22:BO23)</f>
        <v>1853574920</v>
      </c>
      <c r="BP21" s="189"/>
      <c r="BQ21" s="271"/>
      <c r="BR21" s="188">
        <f t="shared" ref="BR21" si="122">SUM(BR22:BR23)</f>
        <v>1820617865</v>
      </c>
      <c r="BS21" s="189"/>
    </row>
    <row r="22" spans="1:71" ht="30.6" customHeight="1" x14ac:dyDescent="0.2">
      <c r="A22" s="11"/>
      <c r="B22" s="160">
        <v>7</v>
      </c>
      <c r="C22" s="161" t="s">
        <v>147</v>
      </c>
      <c r="D22" s="298" t="s">
        <v>159</v>
      </c>
      <c r="E22" s="161" t="s">
        <v>98</v>
      </c>
      <c r="F22" s="268">
        <v>9935</v>
      </c>
      <c r="G22" s="268">
        <v>90543.75</v>
      </c>
      <c r="H22" s="162">
        <f t="shared" ref="H22:H23" si="123">ROUND(G22*F22,0)</f>
        <v>899552156</v>
      </c>
      <c r="I22" s="268">
        <v>90543</v>
      </c>
      <c r="J22" s="163">
        <f t="shared" ref="J22:J23" si="124">ROUND($F22*I22,0)</f>
        <v>899544705</v>
      </c>
      <c r="K22" s="164" t="str">
        <f>+IF(I22&gt;0,IF(OR(I22&gt;$G22),"NO VÁLIDA","VÁLIDA"),"NO VÁLIDA")</f>
        <v>VÁLIDA</v>
      </c>
      <c r="L22" s="268">
        <v>90544</v>
      </c>
      <c r="M22" s="309">
        <f t="shared" ref="M22:M23" si="125">ROUND($F22*L22,0)</f>
        <v>899554640</v>
      </c>
      <c r="N22" s="164" t="str">
        <f t="shared" ref="N22:N23" si="126">+IF(L22&gt;0,IF(OR(L22&gt;$G22),"NO VÁLIDA","VÁLIDA"),"NO VÁLIDA")</f>
        <v>NO VÁLIDA</v>
      </c>
      <c r="O22" s="268">
        <v>90543.75</v>
      </c>
      <c r="P22" s="163">
        <f t="shared" ref="P22:P23" si="127">ROUND($F22*O22,0)</f>
        <v>899552156</v>
      </c>
      <c r="Q22" s="164" t="str">
        <f t="shared" ref="Q22:Q23" si="128">+IF(O22&gt;0,IF(OR(O22&gt;$G22),"NO VÁLIDA","VÁLIDA"),"NO VÁLIDA")</f>
        <v>VÁLIDA</v>
      </c>
      <c r="R22" s="270">
        <v>90540</v>
      </c>
      <c r="S22" s="163">
        <f t="shared" ref="S22:S23" si="129">ROUND($F22*R22,0)</f>
        <v>899514900</v>
      </c>
      <c r="T22" s="164" t="str">
        <f t="shared" ref="T22:T23" si="130">+IF(R22&gt;0,IF(OR(R22&gt;$G22),"NO VÁLIDA","VÁLIDA"),"NO VÁLIDA")</f>
        <v>VÁLIDA</v>
      </c>
      <c r="U22" s="270">
        <v>90500</v>
      </c>
      <c r="V22" s="163">
        <f t="shared" ref="V22:V23" si="131">ROUND($F22*U22,0)</f>
        <v>899117500</v>
      </c>
      <c r="W22" s="164" t="str">
        <f t="shared" ref="W22:W23" si="132">+IF(U22&gt;0,IF(OR(U22&gt;$G22),"NO VÁLIDA","VÁLIDA"),"NO VÁLIDA")</f>
        <v>VÁLIDA</v>
      </c>
      <c r="X22" s="270">
        <v>89990</v>
      </c>
      <c r="Y22" s="163">
        <f t="shared" ref="Y22:Y23" si="133">ROUND($F22*X22,0)</f>
        <v>894050650</v>
      </c>
      <c r="Z22" s="164" t="str">
        <f t="shared" ref="Z22:Z23" si="134">+IF(X22&gt;0,IF(OR(X22&gt;$G22),"NO VÁLIDA","VÁLIDA"),"NO VÁLIDA")</f>
        <v>VÁLIDA</v>
      </c>
      <c r="AA22" s="270"/>
      <c r="AB22" s="163">
        <f t="shared" ref="AB22:AB23" si="135">ROUND($F22*AA22,0)</f>
        <v>0</v>
      </c>
      <c r="AC22" s="164" t="str">
        <f t="shared" ref="AC22:AC23" si="136">+IF(AA22&gt;0,IF(OR(AA22&gt;$G22),"NO VÁLIDA","VÁLIDA"),"NO VÁLIDA")</f>
        <v>NO VÁLIDA</v>
      </c>
      <c r="AD22" s="270">
        <v>89321</v>
      </c>
      <c r="AE22" s="163">
        <f t="shared" ref="AE22:AE23" si="137">ROUND($F22*AD22,0)</f>
        <v>887404135</v>
      </c>
      <c r="AF22" s="164" t="str">
        <f t="shared" ref="AF22:AF23" si="138">+IF(AD22&gt;0,IF(OR(AD22&gt;$G22),"NO VÁLIDA","VÁLIDA"),"NO VÁLIDA")</f>
        <v>VÁLIDA</v>
      </c>
      <c r="AG22" s="270"/>
      <c r="AH22" s="163">
        <f t="shared" ref="AH22:AH23" si="139">ROUND($F22*AG22,0)</f>
        <v>0</v>
      </c>
      <c r="AI22" s="164" t="str">
        <f t="shared" ref="AI22:AI23" si="140">+IF(AG22&gt;0,IF(OR(AG22&gt;$G22),"NO VÁLIDA","VÁLIDA"),"NO VÁLIDA")</f>
        <v>NO VÁLIDA</v>
      </c>
      <c r="AJ22" s="270"/>
      <c r="AK22" s="163">
        <f t="shared" ref="AK22:AK23" si="141">ROUND($F22*AJ22,0)</f>
        <v>0</v>
      </c>
      <c r="AL22" s="164" t="str">
        <f t="shared" ref="AL22:AL23" si="142">+IF(AJ22&gt;0,IF(OR(AJ22&gt;$G22),"NO VÁLIDA","VÁLIDA"),"NO VÁLIDA")</f>
        <v>NO VÁLIDA</v>
      </c>
      <c r="AM22" s="270"/>
      <c r="AN22" s="163">
        <f t="shared" ref="AN22:AN23" si="143">ROUND($F22*AM22,0)</f>
        <v>0</v>
      </c>
      <c r="AO22" s="164" t="str">
        <f t="shared" ref="AO22:AO23" si="144">+IF(AM22&gt;0,IF(OR(AM22&gt;$G22),"NO VÁLIDA","VÁLIDA"),"NO VÁLIDA")</f>
        <v>NO VÁLIDA</v>
      </c>
      <c r="AP22" s="270">
        <v>88000</v>
      </c>
      <c r="AQ22" s="163">
        <f t="shared" ref="AQ22:AQ23" si="145">ROUND($F22*AP22,0)</f>
        <v>874280000</v>
      </c>
      <c r="AR22" s="164" t="str">
        <f t="shared" ref="AR22:AR23" si="146">+IF(AP22&gt;0,IF(OR(AP22&gt;$G22),"NO VÁLIDA","VÁLIDA"),"NO VÁLIDA")</f>
        <v>VÁLIDA</v>
      </c>
      <c r="AS22" s="270">
        <v>90500</v>
      </c>
      <c r="AT22" s="163">
        <f t="shared" ref="AT22:AT23" si="147">ROUND($F22*AS22,0)</f>
        <v>899117500</v>
      </c>
      <c r="AU22" s="164" t="str">
        <f t="shared" ref="AU22:AU23" si="148">+IF(AS22&gt;0,IF(OR(AS22&gt;$G22),"NO VÁLIDA","VÁLIDA"),"NO VÁLIDA")</f>
        <v>VÁLIDA</v>
      </c>
      <c r="AV22" s="270">
        <v>88133</v>
      </c>
      <c r="AW22" s="163">
        <f t="shared" ref="AW22:AW23" si="149">ROUND($F22*AV22,0)</f>
        <v>875601355</v>
      </c>
      <c r="AX22" s="164" t="str">
        <f t="shared" ref="AX22:AX23" si="150">+IF(AV22&gt;0,IF(OR(AV22&gt;$G22),"NO VÁLIDA","VÁLIDA"),"NO VÁLIDA")</f>
        <v>VÁLIDA</v>
      </c>
      <c r="AY22" s="268">
        <v>90543.75</v>
      </c>
      <c r="AZ22" s="163">
        <f t="shared" ref="AZ22:AZ23" si="151">ROUND($F22*AY22,0)</f>
        <v>899552156</v>
      </c>
      <c r="BA22" s="164" t="str">
        <f t="shared" ref="BA22:BA23" si="152">+IF(AY22&gt;0,IF(OR(AY22&gt;$G22),"NO VÁLIDA","VÁLIDA"),"NO VÁLIDA")</f>
        <v>VÁLIDA</v>
      </c>
      <c r="BB22" s="311">
        <v>92000</v>
      </c>
      <c r="BC22" s="163">
        <f t="shared" ref="BC22:BC23" si="153">ROUND($F22*BB22,0)</f>
        <v>914020000</v>
      </c>
      <c r="BD22" s="164" t="str">
        <f t="shared" ref="BD22:BD23" si="154">+IF(BB22&gt;0,IF(OR(BB22&gt;$G22),"NO VÁLIDA","VÁLIDA"),"NO VÁLIDA")</f>
        <v>NO VÁLIDA</v>
      </c>
      <c r="BE22" s="270"/>
      <c r="BF22" s="163">
        <f t="shared" ref="BF22:BF23" si="155">ROUND($F22*BE22,0)</f>
        <v>0</v>
      </c>
      <c r="BG22" s="164" t="str">
        <f t="shared" ref="BG22:BG23" si="156">+IF(BE22&gt;0,IF(OR(BE22&gt;$G22),"NO VÁLIDA","VÁLIDA"),"NO VÁLIDA")</f>
        <v>NO VÁLIDA</v>
      </c>
      <c r="BH22" s="270"/>
      <c r="BI22" s="163">
        <f t="shared" ref="BI22:BI23" si="157">ROUND($F22*BH22,0)</f>
        <v>0</v>
      </c>
      <c r="BJ22" s="164" t="str">
        <f t="shared" ref="BJ22:BJ23" si="158">+IF(BH22&gt;0,IF(OR(BH22&gt;$G22),"NO VÁLIDA","VÁLIDA"),"NO VÁLIDA")</f>
        <v>NO VÁLIDA</v>
      </c>
      <c r="BK22" s="270">
        <v>89615</v>
      </c>
      <c r="BL22" s="163">
        <f t="shared" ref="BL22:BL23" si="159">ROUND($F22*BK22,0)</f>
        <v>890325025</v>
      </c>
      <c r="BM22" s="164" t="str">
        <f t="shared" ref="BM22:BM23" si="160">+IF(BK22&gt;0,IF(OR(BK22&gt;$G22),"NO VÁLIDA","VÁLIDA"),"NO VÁLIDA")</f>
        <v>VÁLIDA</v>
      </c>
      <c r="BN22" s="270">
        <v>89620</v>
      </c>
      <c r="BO22" s="163">
        <f t="shared" ref="BO22:BO23" si="161">ROUND($F22*BN22,0)</f>
        <v>890374700</v>
      </c>
      <c r="BP22" s="164" t="str">
        <f t="shared" ref="BP22:BP23" si="162">+IF(BN22&gt;0,IF(OR(BN22&gt;$G22),"NO VÁLIDA","VÁLIDA"),"NO VÁLIDA")</f>
        <v>VÁLIDA</v>
      </c>
      <c r="BQ22" s="270">
        <v>88027</v>
      </c>
      <c r="BR22" s="163">
        <f t="shared" ref="BR22:BR23" si="163">ROUND($F22*BQ22,0)</f>
        <v>874548245</v>
      </c>
      <c r="BS22" s="164" t="str">
        <f t="shared" ref="BS22:BS23" si="164">+IF(BQ22&gt;0,IF(OR(BQ22&gt;$G22),"NO VÁLIDA","VÁLIDA"),"NO VÁLIDA")</f>
        <v>VÁLIDA</v>
      </c>
    </row>
    <row r="23" spans="1:71" ht="30.6" customHeight="1" thickBot="1" x14ac:dyDescent="0.25">
      <c r="A23" s="11"/>
      <c r="B23" s="160">
        <v>8</v>
      </c>
      <c r="C23" s="161" t="s">
        <v>148</v>
      </c>
      <c r="D23" s="298" t="s">
        <v>160</v>
      </c>
      <c r="E23" s="161" t="s">
        <v>98</v>
      </c>
      <c r="F23" s="268">
        <v>9210</v>
      </c>
      <c r="G23" s="268">
        <v>105659.72222222222</v>
      </c>
      <c r="H23" s="162">
        <f t="shared" si="123"/>
        <v>973126042</v>
      </c>
      <c r="I23" s="268">
        <v>105654</v>
      </c>
      <c r="J23" s="163">
        <f t="shared" si="124"/>
        <v>973073340</v>
      </c>
      <c r="K23" s="164" t="str">
        <f>+IF(I23&gt;0,IF(OR(I23&gt;$G23),"NO VÁLIDA","VÁLIDA"),"NO VÁLIDA")</f>
        <v>VÁLIDA</v>
      </c>
      <c r="L23" s="268">
        <v>105660</v>
      </c>
      <c r="M23" s="309">
        <f t="shared" si="125"/>
        <v>973128600</v>
      </c>
      <c r="N23" s="164" t="str">
        <f t="shared" si="126"/>
        <v>NO VÁLIDA</v>
      </c>
      <c r="O23" s="268">
        <v>105659.72222222222</v>
      </c>
      <c r="P23" s="163">
        <f t="shared" si="127"/>
        <v>973126042</v>
      </c>
      <c r="Q23" s="164" t="str">
        <f t="shared" si="128"/>
        <v>VÁLIDA</v>
      </c>
      <c r="R23" s="270">
        <v>100650</v>
      </c>
      <c r="S23" s="163">
        <f t="shared" si="129"/>
        <v>926986500</v>
      </c>
      <c r="T23" s="164" t="str">
        <f t="shared" si="130"/>
        <v>VÁLIDA</v>
      </c>
      <c r="U23" s="270">
        <v>105500</v>
      </c>
      <c r="V23" s="163">
        <f t="shared" si="131"/>
        <v>971655000</v>
      </c>
      <c r="W23" s="164" t="str">
        <f t="shared" si="132"/>
        <v>VÁLIDA</v>
      </c>
      <c r="X23" s="270">
        <v>105014</v>
      </c>
      <c r="Y23" s="163">
        <f t="shared" si="133"/>
        <v>967178940</v>
      </c>
      <c r="Z23" s="164" t="str">
        <f t="shared" si="134"/>
        <v>VÁLIDA</v>
      </c>
      <c r="AA23" s="270"/>
      <c r="AB23" s="163">
        <f t="shared" si="135"/>
        <v>0</v>
      </c>
      <c r="AC23" s="164" t="str">
        <f t="shared" si="136"/>
        <v>NO VÁLIDA</v>
      </c>
      <c r="AD23" s="270">
        <v>104233</v>
      </c>
      <c r="AE23" s="163">
        <f t="shared" si="137"/>
        <v>959985930</v>
      </c>
      <c r="AF23" s="164" t="str">
        <f t="shared" si="138"/>
        <v>VÁLIDA</v>
      </c>
      <c r="AG23" s="270"/>
      <c r="AH23" s="163">
        <f t="shared" si="139"/>
        <v>0</v>
      </c>
      <c r="AI23" s="164" t="str">
        <f t="shared" si="140"/>
        <v>NO VÁLIDA</v>
      </c>
      <c r="AJ23" s="270"/>
      <c r="AK23" s="163">
        <f t="shared" si="141"/>
        <v>0</v>
      </c>
      <c r="AL23" s="164" t="str">
        <f t="shared" si="142"/>
        <v>NO VÁLIDA</v>
      </c>
      <c r="AM23" s="270"/>
      <c r="AN23" s="163">
        <f t="shared" si="143"/>
        <v>0</v>
      </c>
      <c r="AO23" s="164" t="str">
        <f t="shared" si="144"/>
        <v>NO VÁLIDA</v>
      </c>
      <c r="AP23" s="270">
        <v>102000</v>
      </c>
      <c r="AQ23" s="163">
        <f t="shared" si="145"/>
        <v>939420000</v>
      </c>
      <c r="AR23" s="164" t="str">
        <f t="shared" si="146"/>
        <v>VÁLIDA</v>
      </c>
      <c r="AS23" s="270">
        <v>105500</v>
      </c>
      <c r="AT23" s="163">
        <f t="shared" si="147"/>
        <v>971655000</v>
      </c>
      <c r="AU23" s="164" t="str">
        <f t="shared" si="148"/>
        <v>VÁLIDA</v>
      </c>
      <c r="AV23" s="270">
        <v>102847</v>
      </c>
      <c r="AW23" s="163">
        <f t="shared" si="149"/>
        <v>947220870</v>
      </c>
      <c r="AX23" s="164" t="str">
        <f t="shared" si="150"/>
        <v>VÁLIDA</v>
      </c>
      <c r="AY23" s="268">
        <v>105659.72222222222</v>
      </c>
      <c r="AZ23" s="163">
        <f t="shared" si="151"/>
        <v>973126042</v>
      </c>
      <c r="BA23" s="164" t="str">
        <f t="shared" si="152"/>
        <v>VÁLIDA</v>
      </c>
      <c r="BB23" s="270">
        <v>105100</v>
      </c>
      <c r="BC23" s="163">
        <f t="shared" si="153"/>
        <v>967971000</v>
      </c>
      <c r="BD23" s="164" t="str">
        <f t="shared" si="154"/>
        <v>VÁLIDA</v>
      </c>
      <c r="BE23" s="270"/>
      <c r="BF23" s="163">
        <f t="shared" si="155"/>
        <v>0</v>
      </c>
      <c r="BG23" s="164" t="str">
        <f t="shared" si="156"/>
        <v>NO VÁLIDA</v>
      </c>
      <c r="BH23" s="270"/>
      <c r="BI23" s="163">
        <f t="shared" si="157"/>
        <v>0</v>
      </c>
      <c r="BJ23" s="164" t="str">
        <f t="shared" si="158"/>
        <v>NO VÁLIDA</v>
      </c>
      <c r="BK23" s="270">
        <v>104576</v>
      </c>
      <c r="BL23" s="163">
        <f t="shared" si="159"/>
        <v>963144960</v>
      </c>
      <c r="BM23" s="164" t="str">
        <f t="shared" si="160"/>
        <v>VÁLIDA</v>
      </c>
      <c r="BN23" s="270">
        <v>104582</v>
      </c>
      <c r="BO23" s="163">
        <f t="shared" si="161"/>
        <v>963200220</v>
      </c>
      <c r="BP23" s="164" t="str">
        <f t="shared" si="162"/>
        <v>VÁLIDA</v>
      </c>
      <c r="BQ23" s="270">
        <v>102722</v>
      </c>
      <c r="BR23" s="163">
        <f t="shared" si="163"/>
        <v>946069620</v>
      </c>
      <c r="BS23" s="164" t="str">
        <f t="shared" si="164"/>
        <v>VÁLIDA</v>
      </c>
    </row>
    <row r="24" spans="1:71" ht="22.5" customHeight="1" x14ac:dyDescent="0.2">
      <c r="A24" s="11"/>
      <c r="B24" s="158" t="s">
        <v>120</v>
      </c>
      <c r="C24" s="159"/>
      <c r="D24" s="159"/>
      <c r="E24" s="159"/>
      <c r="F24" s="269"/>
      <c r="G24" s="269"/>
      <c r="H24" s="186">
        <f>SUM(H25:H29)</f>
        <v>3887937459</v>
      </c>
      <c r="I24" s="271"/>
      <c r="J24" s="188">
        <f>SUM(J25:J29)</f>
        <v>3887612806</v>
      </c>
      <c r="K24" s="189"/>
      <c r="L24" s="271"/>
      <c r="M24" s="188">
        <f t="shared" ref="M24" si="165">SUM(M25:M29)</f>
        <v>3887938264</v>
      </c>
      <c r="N24" s="189"/>
      <c r="O24" s="271"/>
      <c r="P24" s="188">
        <f t="shared" ref="P24" si="166">SUM(P25:P29)</f>
        <v>3868220068</v>
      </c>
      <c r="Q24" s="189"/>
      <c r="R24" s="271"/>
      <c r="S24" s="188">
        <f t="shared" ref="S24" si="167">SUM(S25:S29)</f>
        <v>3681449500</v>
      </c>
      <c r="T24" s="189"/>
      <c r="U24" s="271"/>
      <c r="V24" s="188">
        <f t="shared" ref="V24" si="168">SUM(V25:V29)</f>
        <v>3807005000</v>
      </c>
      <c r="W24" s="189"/>
      <c r="X24" s="271"/>
      <c r="Y24" s="188">
        <f t="shared" ref="Y24" si="169">SUM(Y25:Y29)</f>
        <v>3864181342</v>
      </c>
      <c r="Z24" s="189"/>
      <c r="AA24" s="271"/>
      <c r="AB24" s="188">
        <f t="shared" ref="AB24" si="170">SUM(AB25:AB29)</f>
        <v>0</v>
      </c>
      <c r="AC24" s="189"/>
      <c r="AD24" s="271"/>
      <c r="AE24" s="188">
        <f t="shared" ref="AE24" si="171">SUM(AE25:AE29)</f>
        <v>3835453284</v>
      </c>
      <c r="AF24" s="189"/>
      <c r="AG24" s="271"/>
      <c r="AH24" s="188">
        <f t="shared" ref="AH24" si="172">SUM(AH25:AH29)</f>
        <v>0</v>
      </c>
      <c r="AI24" s="189"/>
      <c r="AJ24" s="271"/>
      <c r="AK24" s="188">
        <f t="shared" ref="AK24" si="173">SUM(AK25:AK29)</f>
        <v>0</v>
      </c>
      <c r="AL24" s="189"/>
      <c r="AM24" s="271"/>
      <c r="AN24" s="188">
        <f t="shared" ref="AN24" si="174">SUM(AN25:AN29)</f>
        <v>0</v>
      </c>
      <c r="AO24" s="189"/>
      <c r="AP24" s="271"/>
      <c r="AQ24" s="188">
        <f t="shared" ref="AQ24" si="175">SUM(AQ25:AQ29)</f>
        <v>3881904000</v>
      </c>
      <c r="AR24" s="189"/>
      <c r="AS24" s="271"/>
      <c r="AT24" s="188">
        <f t="shared" ref="AT24" si="176">SUM(AT25:AT29)</f>
        <v>3874709500</v>
      </c>
      <c r="AU24" s="189"/>
      <c r="AV24" s="271"/>
      <c r="AW24" s="188">
        <f t="shared" ref="AW24" si="177">SUM(AW25:AW29)</f>
        <v>3784420420</v>
      </c>
      <c r="AX24" s="189"/>
      <c r="AY24" s="271"/>
      <c r="AZ24" s="188">
        <f t="shared" ref="AZ24" si="178">SUM(AZ25:AZ29)</f>
        <v>3887937459</v>
      </c>
      <c r="BA24" s="189"/>
      <c r="BB24" s="271"/>
      <c r="BC24" s="188">
        <f t="shared" ref="BC24" si="179">SUM(BC25:BC29)</f>
        <v>3879494600</v>
      </c>
      <c r="BD24" s="189"/>
      <c r="BE24" s="271"/>
      <c r="BF24" s="188">
        <f t="shared" ref="BF24" si="180">SUM(BF25:BF29)</f>
        <v>0</v>
      </c>
      <c r="BG24" s="189"/>
      <c r="BH24" s="271"/>
      <c r="BI24" s="188">
        <f t="shared" ref="BI24" si="181">SUM(BI25:BI29)</f>
        <v>0</v>
      </c>
      <c r="BJ24" s="189"/>
      <c r="BK24" s="271"/>
      <c r="BL24" s="188">
        <f t="shared" ref="BL24" si="182">SUM(BL25:BL29)</f>
        <v>3848063614</v>
      </c>
      <c r="BM24" s="189"/>
      <c r="BN24" s="271"/>
      <c r="BO24" s="188">
        <f t="shared" ref="BO24" si="183">SUM(BO25:BO29)</f>
        <v>3848284472</v>
      </c>
      <c r="BP24" s="189"/>
      <c r="BQ24" s="271"/>
      <c r="BR24" s="188">
        <f t="shared" ref="BR24" si="184">SUM(BR25:BR29)</f>
        <v>3779869802</v>
      </c>
      <c r="BS24" s="189"/>
    </row>
    <row r="25" spans="1:71" ht="30.6" customHeight="1" x14ac:dyDescent="0.2">
      <c r="A25" s="11"/>
      <c r="B25" s="160">
        <v>9</v>
      </c>
      <c r="C25" s="161" t="s">
        <v>104</v>
      </c>
      <c r="D25" s="298" t="s">
        <v>161</v>
      </c>
      <c r="E25" s="161" t="s">
        <v>99</v>
      </c>
      <c r="F25" s="268">
        <v>38000</v>
      </c>
      <c r="G25" s="268">
        <v>2274</v>
      </c>
      <c r="H25" s="162">
        <f t="shared" ref="H25:H29" si="185">ROUND(G25*F25,0)</f>
        <v>86412000</v>
      </c>
      <c r="I25" s="270">
        <v>2273</v>
      </c>
      <c r="J25" s="163">
        <f t="shared" ref="J25:J29" si="186">ROUND($F25*I25,0)</f>
        <v>86374000</v>
      </c>
      <c r="K25" s="164" t="str">
        <f t="shared" ref="K25:K27" si="187">+IF(I25&gt;0,IF(OR(I25&gt;$G25,ROUND(I25,0)&gt;$G25),"NO VÁLIDA","VÁLIDA"),"NO VÁLIDA")</f>
        <v>VÁLIDA</v>
      </c>
      <c r="L25" s="270">
        <v>2274</v>
      </c>
      <c r="M25" s="163">
        <f t="shared" ref="M25:M29" si="188">ROUND($F25*L25,0)</f>
        <v>86412000</v>
      </c>
      <c r="N25" s="164" t="str">
        <f t="shared" ref="N25" si="189">+IF(L25&gt;0,IF(OR(L25&gt;$G25,ROUND(L25,0)&gt;$G25),"NO VÁLIDA","VÁLIDA"),"NO VÁLIDA")</f>
        <v>VÁLIDA</v>
      </c>
      <c r="O25" s="268">
        <v>2274</v>
      </c>
      <c r="P25" s="163">
        <f t="shared" ref="P25:P29" si="190">ROUND($F25*O25,0)</f>
        <v>86412000</v>
      </c>
      <c r="Q25" s="164" t="str">
        <f t="shared" ref="Q25" si="191">+IF(O25&gt;0,IF(OR(O25&gt;$G25,ROUND(O25,0)&gt;$G25),"NO VÁLIDA","VÁLIDA"),"NO VÁLIDA")</f>
        <v>VÁLIDA</v>
      </c>
      <c r="R25" s="270">
        <v>2270</v>
      </c>
      <c r="S25" s="163">
        <f t="shared" ref="S25:S29" si="192">ROUND($F25*R25,0)</f>
        <v>86260000</v>
      </c>
      <c r="T25" s="164" t="str">
        <f t="shared" ref="T25" si="193">+IF(R25&gt;0,IF(OR(R25&gt;$G25,ROUND(R25,0)&gt;$G25),"NO VÁLIDA","VÁLIDA"),"NO VÁLIDA")</f>
        <v>VÁLIDA</v>
      </c>
      <c r="U25" s="270">
        <v>2200</v>
      </c>
      <c r="V25" s="163">
        <f t="shared" ref="V25:V29" si="194">ROUND($F25*U25,0)</f>
        <v>83600000</v>
      </c>
      <c r="W25" s="164" t="str">
        <f t="shared" ref="W25" si="195">+IF(U25&gt;0,IF(OR(U25&gt;$G25,ROUND(U25,0)&gt;$G25),"NO VÁLIDA","VÁLIDA"),"NO VÁLIDA")</f>
        <v>VÁLIDA</v>
      </c>
      <c r="X25" s="270">
        <v>2260</v>
      </c>
      <c r="Y25" s="163">
        <f t="shared" ref="Y25:Y29" si="196">ROUND($F25*X25,0)</f>
        <v>85880000</v>
      </c>
      <c r="Z25" s="164" t="str">
        <f t="shared" ref="Z25" si="197">+IF(X25&gt;0,IF(OR(X25&gt;$G25,ROUND(X25,0)&gt;$G25),"NO VÁLIDA","VÁLIDA"),"NO VÁLIDA")</f>
        <v>VÁLIDA</v>
      </c>
      <c r="AA25" s="270"/>
      <c r="AB25" s="163">
        <f t="shared" ref="AB25:AB29" si="198">ROUND($F25*AA25,0)</f>
        <v>0</v>
      </c>
      <c r="AC25" s="164" t="str">
        <f t="shared" ref="AC25" si="199">+IF(AA25&gt;0,IF(OR(AA25&gt;$G25,ROUND(AA25,0)&gt;$G25),"NO VÁLIDA","VÁLIDA"),"NO VÁLIDA")</f>
        <v>NO VÁLIDA</v>
      </c>
      <c r="AD25" s="270">
        <v>2243</v>
      </c>
      <c r="AE25" s="163">
        <f t="shared" ref="AE25:AE29" si="200">ROUND($F25*AD25,0)</f>
        <v>85234000</v>
      </c>
      <c r="AF25" s="164" t="str">
        <f t="shared" ref="AF25" si="201">+IF(AD25&gt;0,IF(OR(AD25&gt;$G25,ROUND(AD25,0)&gt;$G25),"NO VÁLIDA","VÁLIDA"),"NO VÁLIDA")</f>
        <v>VÁLIDA</v>
      </c>
      <c r="AG25" s="270"/>
      <c r="AH25" s="163">
        <f t="shared" ref="AH25:AH29" si="202">ROUND($F25*AG25,0)</f>
        <v>0</v>
      </c>
      <c r="AI25" s="164" t="str">
        <f t="shared" ref="AI25" si="203">+IF(AG25&gt;0,IF(OR(AG25&gt;$G25,ROUND(AG25,0)&gt;$G25),"NO VÁLIDA","VÁLIDA"),"NO VÁLIDA")</f>
        <v>NO VÁLIDA</v>
      </c>
      <c r="AJ25" s="270"/>
      <c r="AK25" s="163">
        <f t="shared" ref="AK25:AK29" si="204">ROUND($F25*AJ25,0)</f>
        <v>0</v>
      </c>
      <c r="AL25" s="164" t="str">
        <f t="shared" ref="AL25" si="205">+IF(AJ25&gt;0,IF(OR(AJ25&gt;$G25,ROUND(AJ25,0)&gt;$G25),"NO VÁLIDA","VÁLIDA"),"NO VÁLIDA")</f>
        <v>NO VÁLIDA</v>
      </c>
      <c r="AM25" s="270"/>
      <c r="AN25" s="163">
        <f t="shared" ref="AN25:AN29" si="206">ROUND($F25*AM25,0)</f>
        <v>0</v>
      </c>
      <c r="AO25" s="164" t="str">
        <f t="shared" ref="AO25" si="207">+IF(AM25&gt;0,IF(OR(AM25&gt;$G25,ROUND(AM25,0)&gt;$G25),"NO VÁLIDA","VÁLIDA"),"NO VÁLIDA")</f>
        <v>NO VÁLIDA</v>
      </c>
      <c r="AP25" s="270">
        <v>2274</v>
      </c>
      <c r="AQ25" s="163">
        <f t="shared" ref="AQ25:AQ29" si="208">ROUND($F25*AP25,0)</f>
        <v>86412000</v>
      </c>
      <c r="AR25" s="164" t="str">
        <f t="shared" ref="AR25" si="209">+IF(AP25&gt;0,IF(OR(AP25&gt;$G25,ROUND(AP25,0)&gt;$G25),"NO VÁLIDA","VÁLIDA"),"NO VÁLIDA")</f>
        <v>VÁLIDA</v>
      </c>
      <c r="AS25" s="270">
        <v>2270</v>
      </c>
      <c r="AT25" s="163">
        <f t="shared" ref="AT25:AT29" si="210">ROUND($F25*AS25,0)</f>
        <v>86260000</v>
      </c>
      <c r="AU25" s="164" t="str">
        <f t="shared" ref="AU25" si="211">+IF(AS25&gt;0,IF(OR(AS25&gt;$G25,ROUND(AS25,0)&gt;$G25),"NO VÁLIDA","VÁLIDA"),"NO VÁLIDA")</f>
        <v>VÁLIDA</v>
      </c>
      <c r="AV25" s="270">
        <v>2213</v>
      </c>
      <c r="AW25" s="163">
        <f t="shared" ref="AW25:AW29" si="212">ROUND($F25*AV25,0)</f>
        <v>84094000</v>
      </c>
      <c r="AX25" s="164" t="str">
        <f t="shared" ref="AX25" si="213">+IF(AV25&gt;0,IF(OR(AV25&gt;$G25,ROUND(AV25,0)&gt;$G25),"NO VÁLIDA","VÁLIDA"),"NO VÁLIDA")</f>
        <v>VÁLIDA</v>
      </c>
      <c r="AY25" s="268">
        <v>2274</v>
      </c>
      <c r="AZ25" s="163">
        <f t="shared" ref="AZ25:AZ29" si="214">ROUND($F25*AY25,0)</f>
        <v>86412000</v>
      </c>
      <c r="BA25" s="164" t="str">
        <f t="shared" ref="BA25" si="215">+IF(AY25&gt;0,IF(OR(AY25&gt;$G25,ROUND(AY25,0)&gt;$G25),"NO VÁLIDA","VÁLIDA"),"NO VÁLIDA")</f>
        <v>VÁLIDA</v>
      </c>
      <c r="BB25" s="270">
        <v>2200</v>
      </c>
      <c r="BC25" s="163">
        <f t="shared" ref="BC25:BC29" si="216">ROUND($F25*BB25,0)</f>
        <v>83600000</v>
      </c>
      <c r="BD25" s="164" t="str">
        <f t="shared" ref="BD25" si="217">+IF(BB25&gt;0,IF(OR(BB25&gt;$G25,ROUND(BB25,0)&gt;$G25),"NO VÁLIDA","VÁLIDA"),"NO VÁLIDA")</f>
        <v>VÁLIDA</v>
      </c>
      <c r="BE25" s="270"/>
      <c r="BF25" s="163">
        <f t="shared" ref="BF25:BF29" si="218">ROUND($F25*BE25,0)</f>
        <v>0</v>
      </c>
      <c r="BG25" s="164" t="str">
        <f t="shared" ref="BG25" si="219">+IF(BE25&gt;0,IF(OR(BE25&gt;$G25,ROUND(BE25,0)&gt;$G25),"NO VÁLIDA","VÁLIDA"),"NO VÁLIDA")</f>
        <v>NO VÁLIDA</v>
      </c>
      <c r="BH25" s="270"/>
      <c r="BI25" s="163">
        <f t="shared" ref="BI25:BI29" si="220">ROUND($F25*BH25,0)</f>
        <v>0</v>
      </c>
      <c r="BJ25" s="164" t="str">
        <f t="shared" ref="BJ25" si="221">+IF(BH25&gt;0,IF(OR(BH25&gt;$G25,ROUND(BH25,0)&gt;$G25),"NO VÁLIDA","VÁLIDA"),"NO VÁLIDA")</f>
        <v>NO VÁLIDA</v>
      </c>
      <c r="BK25" s="270">
        <v>2251</v>
      </c>
      <c r="BL25" s="163">
        <f t="shared" ref="BL25:BL29" si="222">ROUND($F25*BK25,0)</f>
        <v>85538000</v>
      </c>
      <c r="BM25" s="164" t="str">
        <f t="shared" ref="BM25" si="223">+IF(BK25&gt;0,IF(OR(BK25&gt;$G25,ROUND(BK25,0)&gt;$G25),"NO VÁLIDA","VÁLIDA"),"NO VÁLIDA")</f>
        <v>VÁLIDA</v>
      </c>
      <c r="BN25" s="270">
        <v>2251</v>
      </c>
      <c r="BO25" s="163">
        <f t="shared" ref="BO25:BO29" si="224">ROUND($F25*BN25,0)</f>
        <v>85538000</v>
      </c>
      <c r="BP25" s="164" t="str">
        <f t="shared" ref="BP25" si="225">+IF(BN25&gt;0,IF(OR(BN25&gt;$G25,ROUND(BN25,0)&gt;$G25),"NO VÁLIDA","VÁLIDA"),"NO VÁLIDA")</f>
        <v>VÁLIDA</v>
      </c>
      <c r="BQ25" s="270">
        <v>2211</v>
      </c>
      <c r="BR25" s="163">
        <f t="shared" ref="BR25:BR29" si="226">ROUND($F25*BQ25,0)</f>
        <v>84018000</v>
      </c>
      <c r="BS25" s="164" t="str">
        <f t="shared" ref="BS25" si="227">+IF(BQ25&gt;0,IF(OR(BQ25&gt;$G25,ROUND(BQ25,0)&gt;$G25),"NO VÁLIDA","VÁLIDA"),"NO VÁLIDA")</f>
        <v>VÁLIDA</v>
      </c>
    </row>
    <row r="26" spans="1:71" ht="40.5" customHeight="1" x14ac:dyDescent="0.2">
      <c r="A26" s="11"/>
      <c r="B26" s="160">
        <v>10</v>
      </c>
      <c r="C26" s="161" t="s">
        <v>128</v>
      </c>
      <c r="D26" s="298" t="s">
        <v>162</v>
      </c>
      <c r="E26" s="161" t="s">
        <v>98</v>
      </c>
      <c r="F26" s="268">
        <v>2500</v>
      </c>
      <c r="G26" s="268">
        <v>577001.875</v>
      </c>
      <c r="H26" s="162">
        <f t="shared" si="185"/>
        <v>1442504688</v>
      </c>
      <c r="I26" s="268">
        <v>576963</v>
      </c>
      <c r="J26" s="163">
        <f t="shared" si="186"/>
        <v>1442407500</v>
      </c>
      <c r="K26" s="164" t="str">
        <f>+IF(I26&gt;0,IF(OR(I26&gt;$G26),"NO VÁLIDA","VÁLIDA"),"NO VÁLIDA")</f>
        <v>VÁLIDA</v>
      </c>
      <c r="L26" s="268">
        <v>577002</v>
      </c>
      <c r="M26" s="309">
        <f t="shared" si="188"/>
        <v>1442505000</v>
      </c>
      <c r="N26" s="164" t="str">
        <f t="shared" ref="N26" si="228">+IF(L26&gt;0,IF(OR(L26&gt;$G26),"NO VÁLIDA","VÁLIDA"),"NO VÁLIDA")</f>
        <v>NO VÁLIDA</v>
      </c>
      <c r="O26" s="268">
        <v>577001.875</v>
      </c>
      <c r="P26" s="163">
        <f t="shared" si="190"/>
        <v>1442504688</v>
      </c>
      <c r="Q26" s="164" t="str">
        <f t="shared" ref="Q26" si="229">+IF(O26&gt;0,IF(OR(O26&gt;$G26),"NO VÁLIDA","VÁLIDA"),"NO VÁLIDA")</f>
        <v>VÁLIDA</v>
      </c>
      <c r="R26" s="270">
        <v>545000</v>
      </c>
      <c r="S26" s="163">
        <f t="shared" si="192"/>
        <v>1362500000</v>
      </c>
      <c r="T26" s="164" t="str">
        <f t="shared" ref="T26" si="230">+IF(R26&gt;0,IF(OR(R26&gt;$G26),"NO VÁLIDA","VÁLIDA"),"NO VÁLIDA")</f>
        <v>VÁLIDA</v>
      </c>
      <c r="U26" s="270">
        <v>565000</v>
      </c>
      <c r="V26" s="163">
        <f t="shared" si="194"/>
        <v>1412500000</v>
      </c>
      <c r="W26" s="164" t="str">
        <f t="shared" ref="W26" si="231">+IF(U26&gt;0,IF(OR(U26&gt;$G26),"NO VÁLIDA","VÁLIDA"),"NO VÁLIDA")</f>
        <v>VÁLIDA</v>
      </c>
      <c r="X26" s="270">
        <v>573476</v>
      </c>
      <c r="Y26" s="163">
        <f t="shared" si="196"/>
        <v>1433690000</v>
      </c>
      <c r="Z26" s="164" t="str">
        <f t="shared" ref="Z26" si="232">+IF(X26&gt;0,IF(OR(X26&gt;$G26),"NO VÁLIDA","VÁLIDA"),"NO VÁLIDA")</f>
        <v>VÁLIDA</v>
      </c>
      <c r="AA26" s="270"/>
      <c r="AB26" s="163">
        <f t="shared" si="198"/>
        <v>0</v>
      </c>
      <c r="AC26" s="164" t="str">
        <f t="shared" ref="AC26" si="233">+IF(AA26&gt;0,IF(OR(AA26&gt;$G26),"NO VÁLIDA","VÁLIDA"),"NO VÁLIDA")</f>
        <v>NO VÁLIDA</v>
      </c>
      <c r="AD26" s="270">
        <v>569212</v>
      </c>
      <c r="AE26" s="163">
        <f t="shared" si="200"/>
        <v>1423030000</v>
      </c>
      <c r="AF26" s="164" t="str">
        <f t="shared" ref="AF26" si="234">+IF(AD26&gt;0,IF(OR(AD26&gt;$G26),"NO VÁLIDA","VÁLIDA"),"NO VÁLIDA")</f>
        <v>VÁLIDA</v>
      </c>
      <c r="AG26" s="270"/>
      <c r="AH26" s="163">
        <f t="shared" si="202"/>
        <v>0</v>
      </c>
      <c r="AI26" s="164" t="str">
        <f t="shared" ref="AI26" si="235">+IF(AG26&gt;0,IF(OR(AG26&gt;$G26),"NO VÁLIDA","VÁLIDA"),"NO VÁLIDA")</f>
        <v>NO VÁLIDA</v>
      </c>
      <c r="AJ26" s="270"/>
      <c r="AK26" s="163">
        <f t="shared" si="204"/>
        <v>0</v>
      </c>
      <c r="AL26" s="164" t="str">
        <f t="shared" ref="AL26" si="236">+IF(AJ26&gt;0,IF(OR(AJ26&gt;$G26),"NO VÁLIDA","VÁLIDA"),"NO VÁLIDA")</f>
        <v>NO VÁLIDA</v>
      </c>
      <c r="AM26" s="270"/>
      <c r="AN26" s="163">
        <f t="shared" si="206"/>
        <v>0</v>
      </c>
      <c r="AO26" s="164" t="str">
        <f t="shared" ref="AO26" si="237">+IF(AM26&gt;0,IF(OR(AM26&gt;$G26),"NO VÁLIDA","VÁLIDA"),"NO VÁLIDA")</f>
        <v>NO VÁLIDA</v>
      </c>
      <c r="AP26" s="270">
        <v>576000</v>
      </c>
      <c r="AQ26" s="163">
        <f t="shared" si="208"/>
        <v>1440000000</v>
      </c>
      <c r="AR26" s="164" t="str">
        <f t="shared" ref="AR26" si="238">+IF(AP26&gt;0,IF(OR(AP26&gt;$G26),"NO VÁLIDA","VÁLIDA"),"NO VÁLIDA")</f>
        <v>VÁLIDA</v>
      </c>
      <c r="AS26" s="270">
        <v>575000</v>
      </c>
      <c r="AT26" s="163">
        <f t="shared" si="210"/>
        <v>1437500000</v>
      </c>
      <c r="AU26" s="164" t="str">
        <f t="shared" ref="AU26" si="239">+IF(AS26&gt;0,IF(OR(AS26&gt;$G26),"NO VÁLIDA","VÁLIDA"),"NO VÁLIDA")</f>
        <v>VÁLIDA</v>
      </c>
      <c r="AV26" s="270">
        <v>561640</v>
      </c>
      <c r="AW26" s="163">
        <f t="shared" si="212"/>
        <v>1404100000</v>
      </c>
      <c r="AX26" s="164" t="str">
        <f t="shared" ref="AX26" si="240">+IF(AV26&gt;0,IF(OR(AV26&gt;$G26),"NO VÁLIDA","VÁLIDA"),"NO VÁLIDA")</f>
        <v>VÁLIDA</v>
      </c>
      <c r="AY26" s="268">
        <v>577001.875</v>
      </c>
      <c r="AZ26" s="163">
        <f t="shared" si="214"/>
        <v>1442504688</v>
      </c>
      <c r="BA26" s="164" t="str">
        <f t="shared" ref="BA26" si="241">+IF(AY26&gt;0,IF(OR(AY26&gt;$G26),"NO VÁLIDA","VÁLIDA"),"NO VÁLIDA")</f>
        <v>VÁLIDA</v>
      </c>
      <c r="BB26" s="270">
        <v>576300</v>
      </c>
      <c r="BC26" s="163">
        <f t="shared" si="216"/>
        <v>1440750000</v>
      </c>
      <c r="BD26" s="164" t="str">
        <f t="shared" ref="BD26" si="242">+IF(BB26&gt;0,IF(OR(BB26&gt;$G26),"NO VÁLIDA","VÁLIDA"),"NO VÁLIDA")</f>
        <v>VÁLIDA</v>
      </c>
      <c r="BE26" s="270"/>
      <c r="BF26" s="163">
        <f t="shared" si="218"/>
        <v>0</v>
      </c>
      <c r="BG26" s="164" t="str">
        <f t="shared" ref="BG26" si="243">+IF(BE26&gt;0,IF(OR(BE26&gt;$G26),"NO VÁLIDA","VÁLIDA"),"NO VÁLIDA")</f>
        <v>NO VÁLIDA</v>
      </c>
      <c r="BH26" s="270"/>
      <c r="BI26" s="163">
        <f t="shared" si="220"/>
        <v>0</v>
      </c>
      <c r="BJ26" s="164" t="str">
        <f t="shared" ref="BJ26" si="244">+IF(BH26&gt;0,IF(OR(BH26&gt;$G26),"NO VÁLIDA","VÁLIDA"),"NO VÁLIDA")</f>
        <v>NO VÁLIDA</v>
      </c>
      <c r="BK26" s="270">
        <v>571082</v>
      </c>
      <c r="BL26" s="163">
        <f t="shared" si="222"/>
        <v>1427705000</v>
      </c>
      <c r="BM26" s="164" t="str">
        <f t="shared" ref="BM26" si="245">+IF(BK26&gt;0,IF(OR(BK26&gt;$G26),"NO VÁLIDA","VÁLIDA"),"NO VÁLIDA")</f>
        <v>VÁLIDA</v>
      </c>
      <c r="BN26" s="270">
        <v>571116</v>
      </c>
      <c r="BO26" s="163">
        <f t="shared" si="224"/>
        <v>1427790000</v>
      </c>
      <c r="BP26" s="164" t="str">
        <f t="shared" ref="BP26" si="246">+IF(BN26&gt;0,IF(OR(BN26&gt;$G26),"NO VÁLIDA","VÁLIDA"),"NO VÁLIDA")</f>
        <v>VÁLIDA</v>
      </c>
      <c r="BQ26" s="270">
        <v>560961</v>
      </c>
      <c r="BR26" s="163">
        <f t="shared" si="226"/>
        <v>1402402500</v>
      </c>
      <c r="BS26" s="164" t="str">
        <f t="shared" ref="BS26" si="247">+IF(BQ26&gt;0,IF(OR(BQ26&gt;$G26),"NO VÁLIDA","VÁLIDA"),"NO VÁLIDA")</f>
        <v>VÁLIDA</v>
      </c>
    </row>
    <row r="27" spans="1:71" ht="30.6" customHeight="1" x14ac:dyDescent="0.2">
      <c r="A27" s="11"/>
      <c r="B27" s="160">
        <v>11</v>
      </c>
      <c r="C27" s="161">
        <v>421.1</v>
      </c>
      <c r="D27" s="298" t="s">
        <v>163</v>
      </c>
      <c r="E27" s="161" t="s">
        <v>99</v>
      </c>
      <c r="F27" s="268">
        <v>35000</v>
      </c>
      <c r="G27" s="268">
        <v>1665.0000000000002</v>
      </c>
      <c r="H27" s="162">
        <f t="shared" si="185"/>
        <v>58275000</v>
      </c>
      <c r="I27" s="270">
        <v>1664</v>
      </c>
      <c r="J27" s="163">
        <f t="shared" si="186"/>
        <v>58240000</v>
      </c>
      <c r="K27" s="164" t="str">
        <f t="shared" si="187"/>
        <v>VÁLIDA</v>
      </c>
      <c r="L27" s="270">
        <v>1665</v>
      </c>
      <c r="M27" s="163">
        <f t="shared" si="188"/>
        <v>58275000</v>
      </c>
      <c r="N27" s="164" t="str">
        <f t="shared" ref="N27" si="248">+IF(L27&gt;0,IF(OR(L27&gt;$G27,ROUND(L27,0)&gt;$G27),"NO VÁLIDA","VÁLIDA"),"NO VÁLIDA")</f>
        <v>VÁLIDA</v>
      </c>
      <c r="O27" s="268">
        <v>1665.0000000000002</v>
      </c>
      <c r="P27" s="163">
        <f t="shared" si="190"/>
        <v>58275000</v>
      </c>
      <c r="Q27" s="164" t="str">
        <f t="shared" ref="Q27" si="249">+IF(O27&gt;0,IF(OR(O27&gt;$G27,ROUND(O27,0)&gt;$G27),"NO VÁLIDA","VÁLIDA"),"NO VÁLIDA")</f>
        <v>VÁLIDA</v>
      </c>
      <c r="R27" s="270">
        <v>1660</v>
      </c>
      <c r="S27" s="163">
        <f t="shared" si="192"/>
        <v>58100000</v>
      </c>
      <c r="T27" s="164" t="str">
        <f t="shared" ref="T27" si="250">+IF(R27&gt;0,IF(OR(R27&gt;$G27,ROUND(R27,0)&gt;$G27),"NO VÁLIDA","VÁLIDA"),"NO VÁLIDA")</f>
        <v>VÁLIDA</v>
      </c>
      <c r="U27" s="270">
        <v>1650</v>
      </c>
      <c r="V27" s="163">
        <f t="shared" si="194"/>
        <v>57750000</v>
      </c>
      <c r="W27" s="164" t="str">
        <f t="shared" ref="W27" si="251">+IF(U27&gt;0,IF(OR(U27&gt;$G27,ROUND(U27,0)&gt;$G27),"NO VÁLIDA","VÁLIDA"),"NO VÁLIDA")</f>
        <v>VÁLIDA</v>
      </c>
      <c r="X27" s="270">
        <v>1655</v>
      </c>
      <c r="Y27" s="163">
        <f t="shared" si="196"/>
        <v>57925000</v>
      </c>
      <c r="Z27" s="164" t="str">
        <f t="shared" ref="Z27" si="252">+IF(X27&gt;0,IF(OR(X27&gt;$G27,ROUND(X27,0)&gt;$G27),"NO VÁLIDA","VÁLIDA"),"NO VÁLIDA")</f>
        <v>VÁLIDA</v>
      </c>
      <c r="AA27" s="270"/>
      <c r="AB27" s="163">
        <f t="shared" si="198"/>
        <v>0</v>
      </c>
      <c r="AC27" s="164" t="str">
        <f t="shared" ref="AC27" si="253">+IF(AA27&gt;0,IF(OR(AA27&gt;$G27,ROUND(AA27,0)&gt;$G27),"NO VÁLIDA","VÁLIDA"),"NO VÁLIDA")</f>
        <v>NO VÁLIDA</v>
      </c>
      <c r="AD27" s="270">
        <v>1643</v>
      </c>
      <c r="AE27" s="163">
        <f t="shared" si="200"/>
        <v>57505000</v>
      </c>
      <c r="AF27" s="164" t="str">
        <f t="shared" ref="AF27" si="254">+IF(AD27&gt;0,IF(OR(AD27&gt;$G27,ROUND(AD27,0)&gt;$G27),"NO VÁLIDA","VÁLIDA"),"NO VÁLIDA")</f>
        <v>VÁLIDA</v>
      </c>
      <c r="AG27" s="270"/>
      <c r="AH27" s="163">
        <f t="shared" si="202"/>
        <v>0</v>
      </c>
      <c r="AI27" s="164" t="str">
        <f t="shared" ref="AI27" si="255">+IF(AG27&gt;0,IF(OR(AG27&gt;$G27,ROUND(AG27,0)&gt;$G27),"NO VÁLIDA","VÁLIDA"),"NO VÁLIDA")</f>
        <v>NO VÁLIDA</v>
      </c>
      <c r="AJ27" s="270"/>
      <c r="AK27" s="163">
        <f t="shared" si="204"/>
        <v>0</v>
      </c>
      <c r="AL27" s="164" t="str">
        <f t="shared" ref="AL27" si="256">+IF(AJ27&gt;0,IF(OR(AJ27&gt;$G27,ROUND(AJ27,0)&gt;$G27),"NO VÁLIDA","VÁLIDA"),"NO VÁLIDA")</f>
        <v>NO VÁLIDA</v>
      </c>
      <c r="AM27" s="270"/>
      <c r="AN27" s="163">
        <f t="shared" si="206"/>
        <v>0</v>
      </c>
      <c r="AO27" s="164" t="str">
        <f t="shared" ref="AO27" si="257">+IF(AM27&gt;0,IF(OR(AM27&gt;$G27,ROUND(AM27,0)&gt;$G27),"NO VÁLIDA","VÁLIDA"),"NO VÁLIDA")</f>
        <v>NO VÁLIDA</v>
      </c>
      <c r="AP27" s="270">
        <v>1685</v>
      </c>
      <c r="AQ27" s="163">
        <f t="shared" si="208"/>
        <v>58975000</v>
      </c>
      <c r="AR27" s="164" t="str">
        <f t="shared" ref="AR27" si="258">+IF(AP27&gt;0,IF(OR(AP27&gt;$G27,ROUND(AP27,0)&gt;$G27),"NO VÁLIDA","VÁLIDA"),"NO VÁLIDA")</f>
        <v>NO VÁLIDA</v>
      </c>
      <c r="AS27" s="270">
        <v>1660</v>
      </c>
      <c r="AT27" s="163">
        <f t="shared" si="210"/>
        <v>58100000</v>
      </c>
      <c r="AU27" s="164" t="str">
        <f t="shared" ref="AU27" si="259">+IF(AS27&gt;0,IF(OR(AS27&gt;$G27,ROUND(AS27,0)&gt;$G27),"NO VÁLIDA","VÁLIDA"),"NO VÁLIDA")</f>
        <v>VÁLIDA</v>
      </c>
      <c r="AV27" s="270">
        <v>1621</v>
      </c>
      <c r="AW27" s="163">
        <f t="shared" si="212"/>
        <v>56735000</v>
      </c>
      <c r="AX27" s="164" t="str">
        <f t="shared" ref="AX27" si="260">+IF(AV27&gt;0,IF(OR(AV27&gt;$G27,ROUND(AV27,0)&gt;$G27),"NO VÁLIDA","VÁLIDA"),"NO VÁLIDA")</f>
        <v>VÁLIDA</v>
      </c>
      <c r="AY27" s="268">
        <v>1665.0000000000002</v>
      </c>
      <c r="AZ27" s="163">
        <f t="shared" si="214"/>
        <v>58275000</v>
      </c>
      <c r="BA27" s="164" t="str">
        <f t="shared" ref="BA27" si="261">+IF(AY27&gt;0,IF(OR(AY27&gt;$G27,ROUND(AY27,0)&gt;$G27),"NO VÁLIDA","VÁLIDA"),"NO VÁLIDA")</f>
        <v>VÁLIDA</v>
      </c>
      <c r="BB27" s="270">
        <v>1650</v>
      </c>
      <c r="BC27" s="163">
        <f t="shared" si="216"/>
        <v>57750000</v>
      </c>
      <c r="BD27" s="164" t="str">
        <f t="shared" ref="BD27" si="262">+IF(BB27&gt;0,IF(OR(BB27&gt;$G27,ROUND(BB27,0)&gt;$G27),"NO VÁLIDA","VÁLIDA"),"NO VÁLIDA")</f>
        <v>VÁLIDA</v>
      </c>
      <c r="BE27" s="270"/>
      <c r="BF27" s="163">
        <f t="shared" si="218"/>
        <v>0</v>
      </c>
      <c r="BG27" s="164" t="str">
        <f t="shared" ref="BG27" si="263">+IF(BE27&gt;0,IF(OR(BE27&gt;$G27,ROUND(BE27,0)&gt;$G27),"NO VÁLIDA","VÁLIDA"),"NO VÁLIDA")</f>
        <v>NO VÁLIDA</v>
      </c>
      <c r="BH27" s="270"/>
      <c r="BI27" s="163">
        <f t="shared" si="220"/>
        <v>0</v>
      </c>
      <c r="BJ27" s="164" t="str">
        <f t="shared" ref="BJ27" si="264">+IF(BH27&gt;0,IF(OR(BH27&gt;$G27,ROUND(BH27,0)&gt;$G27),"NO VÁLIDA","VÁLIDA"),"NO VÁLIDA")</f>
        <v>NO VÁLIDA</v>
      </c>
      <c r="BK27" s="270">
        <v>1648</v>
      </c>
      <c r="BL27" s="163">
        <f t="shared" si="222"/>
        <v>57680000</v>
      </c>
      <c r="BM27" s="164" t="str">
        <f t="shared" ref="BM27" si="265">+IF(BK27&gt;0,IF(OR(BK27&gt;$G27,ROUND(BK27,0)&gt;$G27),"NO VÁLIDA","VÁLIDA"),"NO VÁLIDA")</f>
        <v>VÁLIDA</v>
      </c>
      <c r="BN27" s="270">
        <v>1648</v>
      </c>
      <c r="BO27" s="163">
        <f t="shared" si="224"/>
        <v>57680000</v>
      </c>
      <c r="BP27" s="164" t="str">
        <f t="shared" ref="BP27" si="266">+IF(BN27&gt;0,IF(OR(BN27&gt;$G27,ROUND(BN27,0)&gt;$G27),"NO VÁLIDA","VÁLIDA"),"NO VÁLIDA")</f>
        <v>VÁLIDA</v>
      </c>
      <c r="BQ27" s="270">
        <v>1619</v>
      </c>
      <c r="BR27" s="163">
        <f t="shared" si="226"/>
        <v>56665000</v>
      </c>
      <c r="BS27" s="164" t="str">
        <f t="shared" ref="BS27" si="267">+IF(BQ27&gt;0,IF(OR(BQ27&gt;$G27,ROUND(BQ27,0)&gt;$G27),"NO VÁLIDA","VÁLIDA"),"NO VÁLIDA")</f>
        <v>VÁLIDA</v>
      </c>
    </row>
    <row r="28" spans="1:71" ht="50.45" customHeight="1" x14ac:dyDescent="0.2">
      <c r="A28" s="11"/>
      <c r="B28" s="160">
        <v>12</v>
      </c>
      <c r="C28" s="161" t="s">
        <v>149</v>
      </c>
      <c r="D28" s="298" t="s">
        <v>164</v>
      </c>
      <c r="E28" s="161" t="s">
        <v>98</v>
      </c>
      <c r="F28" s="268">
        <v>3942</v>
      </c>
      <c r="G28" s="268">
        <v>577001.875</v>
      </c>
      <c r="H28" s="162">
        <f t="shared" si="185"/>
        <v>2274541391</v>
      </c>
      <c r="I28" s="268">
        <v>576963</v>
      </c>
      <c r="J28" s="163">
        <f t="shared" si="186"/>
        <v>2274388146</v>
      </c>
      <c r="K28" s="164" t="str">
        <f>+IF(I28&gt;0,IF(OR(I28&gt;$G28),"NO VÁLIDA","VÁLIDA"),"NO VÁLIDA")</f>
        <v>VÁLIDA</v>
      </c>
      <c r="L28" s="268">
        <v>577002</v>
      </c>
      <c r="M28" s="309">
        <f t="shared" si="188"/>
        <v>2274541884</v>
      </c>
      <c r="N28" s="164" t="str">
        <f t="shared" ref="N28:N29" si="268">+IF(L28&gt;0,IF(OR(L28&gt;$G28),"NO VÁLIDA","VÁLIDA"),"NO VÁLIDA")</f>
        <v>NO VÁLIDA</v>
      </c>
      <c r="O28" s="270">
        <v>572000</v>
      </c>
      <c r="P28" s="163">
        <f t="shared" si="190"/>
        <v>2254824000</v>
      </c>
      <c r="Q28" s="164" t="str">
        <f t="shared" ref="Q28:Q29" si="269">+IF(O28&gt;0,IF(OR(O28&gt;$G28),"NO VÁLIDA","VÁLIDA"),"NO VÁLIDA")</f>
        <v>VÁLIDA</v>
      </c>
      <c r="R28" s="270">
        <v>545000</v>
      </c>
      <c r="S28" s="163">
        <f t="shared" si="192"/>
        <v>2148390000</v>
      </c>
      <c r="T28" s="164" t="str">
        <f t="shared" ref="T28:T29" si="270">+IF(R28&gt;0,IF(OR(R28&gt;$G28),"NO VÁLIDA","VÁLIDA"),"NO VÁLIDA")</f>
        <v>VÁLIDA</v>
      </c>
      <c r="U28" s="270">
        <v>565000</v>
      </c>
      <c r="V28" s="163">
        <f t="shared" si="194"/>
        <v>2227230000</v>
      </c>
      <c r="W28" s="164" t="str">
        <f t="shared" ref="W28:W29" si="271">+IF(U28&gt;0,IF(OR(U28&gt;$G28),"NO VÁLIDA","VÁLIDA"),"NO VÁLIDA")</f>
        <v>VÁLIDA</v>
      </c>
      <c r="X28" s="270">
        <v>573476</v>
      </c>
      <c r="Y28" s="163">
        <f t="shared" si="196"/>
        <v>2260642392</v>
      </c>
      <c r="Z28" s="164" t="str">
        <f t="shared" ref="Z28:Z29" si="272">+IF(X28&gt;0,IF(OR(X28&gt;$G28),"NO VÁLIDA","VÁLIDA"),"NO VÁLIDA")</f>
        <v>VÁLIDA</v>
      </c>
      <c r="AA28" s="270"/>
      <c r="AB28" s="163">
        <f t="shared" si="198"/>
        <v>0</v>
      </c>
      <c r="AC28" s="164" t="str">
        <f t="shared" ref="AC28:AC29" si="273">+IF(AA28&gt;0,IF(OR(AA28&gt;$G28),"NO VÁLIDA","VÁLIDA"),"NO VÁLIDA")</f>
        <v>NO VÁLIDA</v>
      </c>
      <c r="AD28" s="270">
        <v>569212</v>
      </c>
      <c r="AE28" s="163">
        <f t="shared" si="200"/>
        <v>2243833704</v>
      </c>
      <c r="AF28" s="164" t="str">
        <f t="shared" ref="AF28:AF29" si="274">+IF(AD28&gt;0,IF(OR(AD28&gt;$G28),"NO VÁLIDA","VÁLIDA"),"NO VÁLIDA")</f>
        <v>VÁLIDA</v>
      </c>
      <c r="AG28" s="270"/>
      <c r="AH28" s="163">
        <f t="shared" si="202"/>
        <v>0</v>
      </c>
      <c r="AI28" s="164" t="str">
        <f t="shared" ref="AI28:AI29" si="275">+IF(AG28&gt;0,IF(OR(AG28&gt;$G28),"NO VÁLIDA","VÁLIDA"),"NO VÁLIDA")</f>
        <v>NO VÁLIDA</v>
      </c>
      <c r="AJ28" s="270"/>
      <c r="AK28" s="163">
        <f t="shared" si="204"/>
        <v>0</v>
      </c>
      <c r="AL28" s="164" t="str">
        <f t="shared" ref="AL28:AL29" si="276">+IF(AJ28&gt;0,IF(OR(AJ28&gt;$G28),"NO VÁLIDA","VÁLIDA"),"NO VÁLIDA")</f>
        <v>NO VÁLIDA</v>
      </c>
      <c r="AM28" s="270"/>
      <c r="AN28" s="163">
        <f t="shared" si="206"/>
        <v>0</v>
      </c>
      <c r="AO28" s="164" t="str">
        <f t="shared" ref="AO28:AO29" si="277">+IF(AM28&gt;0,IF(OR(AM28&gt;$G28),"NO VÁLIDA","VÁLIDA"),"NO VÁLIDA")</f>
        <v>NO VÁLIDA</v>
      </c>
      <c r="AP28" s="270">
        <v>576000</v>
      </c>
      <c r="AQ28" s="163">
        <f t="shared" si="208"/>
        <v>2270592000</v>
      </c>
      <c r="AR28" s="164" t="str">
        <f t="shared" ref="AR28:AR29" si="278">+IF(AP28&gt;0,IF(OR(AP28&gt;$G28),"NO VÁLIDA","VÁLIDA"),"NO VÁLIDA")</f>
        <v>VÁLIDA</v>
      </c>
      <c r="AS28" s="270">
        <v>575000</v>
      </c>
      <c r="AT28" s="163">
        <f t="shared" si="210"/>
        <v>2266650000</v>
      </c>
      <c r="AU28" s="164" t="str">
        <f t="shared" ref="AU28:AU29" si="279">+IF(AS28&gt;0,IF(OR(AS28&gt;$G28),"NO VÁLIDA","VÁLIDA"),"NO VÁLIDA")</f>
        <v>VÁLIDA</v>
      </c>
      <c r="AV28" s="270">
        <v>561640</v>
      </c>
      <c r="AW28" s="163">
        <f t="shared" si="212"/>
        <v>2213984880</v>
      </c>
      <c r="AX28" s="164" t="str">
        <f t="shared" ref="AX28:AX29" si="280">+IF(AV28&gt;0,IF(OR(AV28&gt;$G28),"NO VÁLIDA","VÁLIDA"),"NO VÁLIDA")</f>
        <v>VÁLIDA</v>
      </c>
      <c r="AY28" s="268">
        <v>577001.875</v>
      </c>
      <c r="AZ28" s="163">
        <f t="shared" si="214"/>
        <v>2274541391</v>
      </c>
      <c r="BA28" s="164" t="str">
        <f t="shared" ref="BA28:BA29" si="281">+IF(AY28&gt;0,IF(OR(AY28&gt;$G28),"NO VÁLIDA","VÁLIDA"),"NO VÁLIDA")</f>
        <v>VÁLIDA</v>
      </c>
      <c r="BB28" s="270">
        <v>576300</v>
      </c>
      <c r="BC28" s="163">
        <f t="shared" si="216"/>
        <v>2271774600</v>
      </c>
      <c r="BD28" s="164" t="str">
        <f t="shared" ref="BD28:BD29" si="282">+IF(BB28&gt;0,IF(OR(BB28&gt;$G28),"NO VÁLIDA","VÁLIDA"),"NO VÁLIDA")</f>
        <v>VÁLIDA</v>
      </c>
      <c r="BE28" s="270"/>
      <c r="BF28" s="163">
        <f t="shared" si="218"/>
        <v>0</v>
      </c>
      <c r="BG28" s="164" t="str">
        <f t="shared" ref="BG28:BG29" si="283">+IF(BE28&gt;0,IF(OR(BE28&gt;$G28),"NO VÁLIDA","VÁLIDA"),"NO VÁLIDA")</f>
        <v>NO VÁLIDA</v>
      </c>
      <c r="BH28" s="270"/>
      <c r="BI28" s="163">
        <f t="shared" si="220"/>
        <v>0</v>
      </c>
      <c r="BJ28" s="164" t="str">
        <f t="shared" ref="BJ28:BJ29" si="284">+IF(BH28&gt;0,IF(OR(BH28&gt;$G28),"NO VÁLIDA","VÁLIDA"),"NO VÁLIDA")</f>
        <v>NO VÁLIDA</v>
      </c>
      <c r="BK28" s="270">
        <v>571082</v>
      </c>
      <c r="BL28" s="163">
        <f t="shared" si="222"/>
        <v>2251205244</v>
      </c>
      <c r="BM28" s="164" t="str">
        <f t="shared" ref="BM28:BM29" si="285">+IF(BK28&gt;0,IF(OR(BK28&gt;$G28),"NO VÁLIDA","VÁLIDA"),"NO VÁLIDA")</f>
        <v>VÁLIDA</v>
      </c>
      <c r="BN28" s="270">
        <v>571116</v>
      </c>
      <c r="BO28" s="163">
        <f t="shared" si="224"/>
        <v>2251339272</v>
      </c>
      <c r="BP28" s="164" t="str">
        <f t="shared" ref="BP28:BP29" si="286">+IF(BN28&gt;0,IF(OR(BN28&gt;$G28),"NO VÁLIDA","VÁLIDA"),"NO VÁLIDA")</f>
        <v>VÁLIDA</v>
      </c>
      <c r="BQ28" s="270">
        <v>560961</v>
      </c>
      <c r="BR28" s="163">
        <f t="shared" si="226"/>
        <v>2211308262</v>
      </c>
      <c r="BS28" s="164" t="str">
        <f t="shared" ref="BS28:BS29" si="287">+IF(BQ28&gt;0,IF(OR(BQ28&gt;$G28),"NO VÁLIDA","VÁLIDA"),"NO VÁLIDA")</f>
        <v>VÁLIDA</v>
      </c>
    </row>
    <row r="29" spans="1:71" ht="30.6" customHeight="1" thickBot="1" x14ac:dyDescent="0.25">
      <c r="A29" s="11"/>
      <c r="B29" s="160">
        <v>13</v>
      </c>
      <c r="C29" s="161" t="s">
        <v>150</v>
      </c>
      <c r="D29" s="298" t="s">
        <v>165</v>
      </c>
      <c r="E29" s="161" t="s">
        <v>98</v>
      </c>
      <c r="F29" s="268">
        <v>610</v>
      </c>
      <c r="G29" s="268">
        <v>42957.999825283536</v>
      </c>
      <c r="H29" s="162">
        <f t="shared" si="185"/>
        <v>26204380</v>
      </c>
      <c r="I29" s="268">
        <v>42956</v>
      </c>
      <c r="J29" s="163">
        <f t="shared" si="186"/>
        <v>26203160</v>
      </c>
      <c r="K29" s="164" t="str">
        <f>+IF(I29&gt;0,IF(OR(I29&gt;$G29),"NO VÁLIDA","VÁLIDA"),"NO VÁLIDA")</f>
        <v>VÁLIDA</v>
      </c>
      <c r="L29" s="268">
        <v>42958</v>
      </c>
      <c r="M29" s="163">
        <f t="shared" si="188"/>
        <v>26204380</v>
      </c>
      <c r="N29" s="164" t="str">
        <f t="shared" si="268"/>
        <v>NO VÁLIDA</v>
      </c>
      <c r="O29" s="268">
        <v>42957.999825283536</v>
      </c>
      <c r="P29" s="163">
        <f t="shared" si="190"/>
        <v>26204380</v>
      </c>
      <c r="Q29" s="164" t="str">
        <f t="shared" si="269"/>
        <v>VÁLIDA</v>
      </c>
      <c r="R29" s="270">
        <v>42950</v>
      </c>
      <c r="S29" s="163">
        <f t="shared" si="192"/>
        <v>26199500</v>
      </c>
      <c r="T29" s="164" t="str">
        <f t="shared" si="270"/>
        <v>VÁLIDA</v>
      </c>
      <c r="U29" s="270">
        <v>42500</v>
      </c>
      <c r="V29" s="163">
        <f t="shared" si="194"/>
        <v>25925000</v>
      </c>
      <c r="W29" s="164" t="str">
        <f t="shared" si="271"/>
        <v>VÁLIDA</v>
      </c>
      <c r="X29" s="270">
        <v>42695</v>
      </c>
      <c r="Y29" s="163">
        <f t="shared" si="196"/>
        <v>26043950</v>
      </c>
      <c r="Z29" s="164" t="str">
        <f t="shared" si="272"/>
        <v>VÁLIDA</v>
      </c>
      <c r="AA29" s="270"/>
      <c r="AB29" s="163">
        <f t="shared" si="198"/>
        <v>0</v>
      </c>
      <c r="AC29" s="164" t="str">
        <f t="shared" si="273"/>
        <v>NO VÁLIDA</v>
      </c>
      <c r="AD29" s="270">
        <v>42378</v>
      </c>
      <c r="AE29" s="163">
        <f t="shared" si="200"/>
        <v>25850580</v>
      </c>
      <c r="AF29" s="164" t="str">
        <f t="shared" si="274"/>
        <v>VÁLIDA</v>
      </c>
      <c r="AG29" s="270"/>
      <c r="AH29" s="163">
        <f t="shared" si="202"/>
        <v>0</v>
      </c>
      <c r="AI29" s="164" t="str">
        <f t="shared" si="275"/>
        <v>NO VÁLIDA</v>
      </c>
      <c r="AJ29" s="270"/>
      <c r="AK29" s="163">
        <f t="shared" si="204"/>
        <v>0</v>
      </c>
      <c r="AL29" s="164" t="str">
        <f t="shared" si="276"/>
        <v>NO VÁLIDA</v>
      </c>
      <c r="AM29" s="270"/>
      <c r="AN29" s="163">
        <f t="shared" si="206"/>
        <v>0</v>
      </c>
      <c r="AO29" s="164" t="str">
        <f t="shared" si="277"/>
        <v>NO VÁLIDA</v>
      </c>
      <c r="AP29" s="270">
        <v>42500</v>
      </c>
      <c r="AQ29" s="163">
        <f t="shared" si="208"/>
        <v>25925000</v>
      </c>
      <c r="AR29" s="164" t="str">
        <f t="shared" si="278"/>
        <v>VÁLIDA</v>
      </c>
      <c r="AS29" s="270">
        <v>42950</v>
      </c>
      <c r="AT29" s="163">
        <f t="shared" si="210"/>
        <v>26199500</v>
      </c>
      <c r="AU29" s="164" t="str">
        <f t="shared" si="279"/>
        <v>VÁLIDA</v>
      </c>
      <c r="AV29" s="270">
        <v>41814</v>
      </c>
      <c r="AW29" s="163">
        <f t="shared" si="212"/>
        <v>25506540</v>
      </c>
      <c r="AX29" s="164" t="str">
        <f t="shared" si="280"/>
        <v>VÁLIDA</v>
      </c>
      <c r="AY29" s="268">
        <v>42957.999825283536</v>
      </c>
      <c r="AZ29" s="163">
        <f t="shared" si="214"/>
        <v>26204380</v>
      </c>
      <c r="BA29" s="164" t="str">
        <f t="shared" si="281"/>
        <v>VÁLIDA</v>
      </c>
      <c r="BB29" s="270">
        <v>42000</v>
      </c>
      <c r="BC29" s="163">
        <f t="shared" si="216"/>
        <v>25620000</v>
      </c>
      <c r="BD29" s="164" t="str">
        <f t="shared" si="282"/>
        <v>VÁLIDA</v>
      </c>
      <c r="BE29" s="270"/>
      <c r="BF29" s="163">
        <f t="shared" si="218"/>
        <v>0</v>
      </c>
      <c r="BG29" s="164" t="str">
        <f t="shared" si="283"/>
        <v>NO VÁLIDA</v>
      </c>
      <c r="BH29" s="270"/>
      <c r="BI29" s="163">
        <f t="shared" si="220"/>
        <v>0</v>
      </c>
      <c r="BJ29" s="164" t="str">
        <f t="shared" si="284"/>
        <v>NO VÁLIDA</v>
      </c>
      <c r="BK29" s="270">
        <v>42517</v>
      </c>
      <c r="BL29" s="163">
        <f t="shared" si="222"/>
        <v>25935370</v>
      </c>
      <c r="BM29" s="164" t="str">
        <f t="shared" si="285"/>
        <v>VÁLIDA</v>
      </c>
      <c r="BN29" s="270">
        <v>42520</v>
      </c>
      <c r="BO29" s="163">
        <f t="shared" si="224"/>
        <v>25937200</v>
      </c>
      <c r="BP29" s="164" t="str">
        <f t="shared" si="286"/>
        <v>VÁLIDA</v>
      </c>
      <c r="BQ29" s="270">
        <v>41764</v>
      </c>
      <c r="BR29" s="163">
        <f t="shared" si="226"/>
        <v>25476040</v>
      </c>
      <c r="BS29" s="164" t="str">
        <f t="shared" si="287"/>
        <v>VÁLIDA</v>
      </c>
    </row>
    <row r="30" spans="1:71" ht="22.5" customHeight="1" x14ac:dyDescent="0.2">
      <c r="A30" s="11"/>
      <c r="B30" s="158" t="s">
        <v>121</v>
      </c>
      <c r="C30" s="159"/>
      <c r="D30" s="159"/>
      <c r="E30" s="159"/>
      <c r="F30" s="269"/>
      <c r="G30" s="269"/>
      <c r="H30" s="186">
        <f>SUM(H31:H34)</f>
        <v>207556811</v>
      </c>
      <c r="I30" s="271"/>
      <c r="J30" s="188">
        <f>SUM(J31:J34)</f>
        <v>207509387</v>
      </c>
      <c r="K30" s="189"/>
      <c r="L30" s="271"/>
      <c r="M30" s="188">
        <f t="shared" ref="M30" si="288">SUM(M31:M34)</f>
        <v>206240120</v>
      </c>
      <c r="N30" s="189"/>
      <c r="O30" s="271"/>
      <c r="P30" s="188">
        <f t="shared" ref="P30" si="289">SUM(P31:P34)</f>
        <v>207556811</v>
      </c>
      <c r="Q30" s="189"/>
      <c r="R30" s="271"/>
      <c r="S30" s="188">
        <f t="shared" ref="S30" si="290">SUM(S31:S34)</f>
        <v>207521170</v>
      </c>
      <c r="T30" s="189"/>
      <c r="U30" s="271"/>
      <c r="V30" s="188">
        <f t="shared" ref="V30" si="291">SUM(V31:V34)</f>
        <v>205054500</v>
      </c>
      <c r="W30" s="189"/>
      <c r="X30" s="271"/>
      <c r="Y30" s="188">
        <f t="shared" ref="Y30" si="292">SUM(Y31:Y34)</f>
        <v>206297152</v>
      </c>
      <c r="Z30" s="189"/>
      <c r="AA30" s="271"/>
      <c r="AB30" s="188">
        <f t="shared" ref="AB30" si="293">SUM(AB31:AB34)</f>
        <v>0</v>
      </c>
      <c r="AC30" s="189"/>
      <c r="AD30" s="271"/>
      <c r="AE30" s="188">
        <f t="shared" ref="AE30" si="294">SUM(AE31:AE34)</f>
        <v>204748613</v>
      </c>
      <c r="AF30" s="189"/>
      <c r="AG30" s="271"/>
      <c r="AH30" s="188">
        <f t="shared" ref="AH30" si="295">SUM(AH31:AH34)</f>
        <v>0</v>
      </c>
      <c r="AI30" s="189"/>
      <c r="AJ30" s="271"/>
      <c r="AK30" s="188">
        <f t="shared" ref="AK30" si="296">SUM(AK31:AK34)</f>
        <v>0</v>
      </c>
      <c r="AL30" s="189"/>
      <c r="AM30" s="271"/>
      <c r="AN30" s="188">
        <f t="shared" ref="AN30" si="297">SUM(AN31:AN34)</f>
        <v>0</v>
      </c>
      <c r="AO30" s="189"/>
      <c r="AP30" s="271"/>
      <c r="AQ30" s="188">
        <f t="shared" ref="AQ30" si="298">SUM(AQ31:AQ34)</f>
        <v>204823690</v>
      </c>
      <c r="AR30" s="189"/>
      <c r="AS30" s="271"/>
      <c r="AT30" s="188">
        <f t="shared" ref="AT30" si="299">SUM(AT31:AT34)</f>
        <v>207435480</v>
      </c>
      <c r="AU30" s="189"/>
      <c r="AV30" s="271"/>
      <c r="AW30" s="188">
        <f t="shared" ref="AW30" si="300">SUM(AW31:AW34)</f>
        <v>202030359</v>
      </c>
      <c r="AX30" s="189"/>
      <c r="AY30" s="271"/>
      <c r="AZ30" s="188">
        <f t="shared" ref="AZ30" si="301">SUM(AZ31:AZ34)</f>
        <v>207556811</v>
      </c>
      <c r="BA30" s="189"/>
      <c r="BB30" s="271"/>
      <c r="BC30" s="188">
        <f t="shared" ref="BC30" si="302">SUM(BC31:BC34)</f>
        <v>201941000</v>
      </c>
      <c r="BD30" s="189"/>
      <c r="BE30" s="271"/>
      <c r="BF30" s="188">
        <f t="shared" ref="BF30" si="303">SUM(BF31:BF34)</f>
        <v>0</v>
      </c>
      <c r="BG30" s="189"/>
      <c r="BH30" s="271"/>
      <c r="BI30" s="188">
        <f t="shared" ref="BI30" si="304">SUM(BI31:BI34)</f>
        <v>0</v>
      </c>
      <c r="BJ30" s="189"/>
      <c r="BK30" s="271"/>
      <c r="BL30" s="188">
        <f t="shared" ref="BL30" si="305">SUM(BL31:BL34)</f>
        <v>205423515</v>
      </c>
      <c r="BM30" s="189"/>
      <c r="BN30" s="271"/>
      <c r="BO30" s="188">
        <f t="shared" ref="BO30" si="306">SUM(BO31:BO34)</f>
        <v>205429644</v>
      </c>
      <c r="BP30" s="189"/>
      <c r="BQ30" s="271"/>
      <c r="BR30" s="188">
        <f t="shared" ref="BR30" si="307">SUM(BR31:BR34)</f>
        <v>201778304</v>
      </c>
      <c r="BS30" s="189"/>
    </row>
    <row r="31" spans="1:71" ht="30.6" customHeight="1" x14ac:dyDescent="0.2">
      <c r="A31" s="11"/>
      <c r="B31" s="160">
        <v>14</v>
      </c>
      <c r="C31" s="161" t="s">
        <v>129</v>
      </c>
      <c r="D31" s="298" t="s">
        <v>132</v>
      </c>
      <c r="E31" s="161" t="s">
        <v>98</v>
      </c>
      <c r="F31" s="268">
        <v>845</v>
      </c>
      <c r="G31" s="268">
        <v>16698.00000660805</v>
      </c>
      <c r="H31" s="162">
        <f t="shared" ref="H31:H34" si="308">ROUND(G31*F31,0)</f>
        <v>14109810</v>
      </c>
      <c r="I31" s="270">
        <v>16683</v>
      </c>
      <c r="J31" s="163">
        <f t="shared" ref="J31:J34" si="309">ROUND($F31*I31,0)</f>
        <v>14097135</v>
      </c>
      <c r="K31" s="164" t="str">
        <f t="shared" ref="K31:K34" si="310">+IF(I31&gt;0,IF(OR(I31&gt;$G31,ROUND(I31,0)&gt;$G31),"NO VÁLIDA","VÁLIDA"),"NO VÁLIDA")</f>
        <v>VÁLIDA</v>
      </c>
      <c r="L31" s="270">
        <v>16698</v>
      </c>
      <c r="M31" s="163">
        <f t="shared" ref="M31:M34" si="311">ROUND($F31*L31,0)</f>
        <v>14109810</v>
      </c>
      <c r="N31" s="164" t="str">
        <f t="shared" ref="N31:N34" si="312">+IF(L31&gt;0,IF(OR(L31&gt;$G31,ROUND(L31,0)&gt;$G31),"NO VÁLIDA","VÁLIDA"),"NO VÁLIDA")</f>
        <v>VÁLIDA</v>
      </c>
      <c r="O31" s="268">
        <v>16698.00000660805</v>
      </c>
      <c r="P31" s="163">
        <f t="shared" ref="P31:P34" si="313">ROUND($F31*O31,0)</f>
        <v>14109810</v>
      </c>
      <c r="Q31" s="164" t="str">
        <f t="shared" ref="Q31:Q34" si="314">+IF(O31&gt;0,IF(OR(O31&gt;$G31,ROUND(O31,0)&gt;$G31),"NO VÁLIDA","VÁLIDA"),"NO VÁLIDA")</f>
        <v>VÁLIDA</v>
      </c>
      <c r="R31" s="270">
        <v>16690</v>
      </c>
      <c r="S31" s="163">
        <f t="shared" ref="S31:S34" si="315">ROUND($F31*R31,0)</f>
        <v>14103050</v>
      </c>
      <c r="T31" s="164" t="str">
        <f t="shared" ref="T31:T34" si="316">+IF(R31&gt;0,IF(OR(R31&gt;$G31,ROUND(R31,0)&gt;$G31),"NO VÁLIDA","VÁLIDA"),"NO VÁLIDA")</f>
        <v>VÁLIDA</v>
      </c>
      <c r="U31" s="270">
        <v>16500</v>
      </c>
      <c r="V31" s="163">
        <f t="shared" ref="V31:V34" si="317">ROUND($F31*U31,0)</f>
        <v>13942500</v>
      </c>
      <c r="W31" s="164" t="str">
        <f t="shared" ref="W31:W34" si="318">+IF(U31&gt;0,IF(OR(U31&gt;$G31,ROUND(U31,0)&gt;$G31),"NO VÁLIDA","VÁLIDA"),"NO VÁLIDA")</f>
        <v>VÁLIDA</v>
      </c>
      <c r="X31" s="270">
        <v>16596</v>
      </c>
      <c r="Y31" s="163">
        <f t="shared" ref="Y31:Y34" si="319">ROUND($F31*X31,0)</f>
        <v>14023620</v>
      </c>
      <c r="Z31" s="164" t="str">
        <f t="shared" ref="Z31:Z34" si="320">+IF(X31&gt;0,IF(OR(X31&gt;$G31,ROUND(X31,0)&gt;$G31),"NO VÁLIDA","VÁLIDA"),"NO VÁLIDA")</f>
        <v>VÁLIDA</v>
      </c>
      <c r="AA31" s="270"/>
      <c r="AB31" s="163">
        <f t="shared" ref="AB31:AB34" si="321">ROUND($F31*AA31,0)</f>
        <v>0</v>
      </c>
      <c r="AC31" s="164" t="str">
        <f t="shared" ref="AC31:AC34" si="322">+IF(AA31&gt;0,IF(OR(AA31&gt;$G31,ROUND(AA31,0)&gt;$G31),"NO VÁLIDA","VÁLIDA"),"NO VÁLIDA")</f>
        <v>NO VÁLIDA</v>
      </c>
      <c r="AD31" s="270">
        <v>16473</v>
      </c>
      <c r="AE31" s="163">
        <f t="shared" ref="AE31:AE34" si="323">ROUND($F31*AD31,0)</f>
        <v>13919685</v>
      </c>
      <c r="AF31" s="164" t="str">
        <f t="shared" ref="AF31:AF34" si="324">+IF(AD31&gt;0,IF(OR(AD31&gt;$G31,ROUND(AD31,0)&gt;$G31),"NO VÁLIDA","VÁLIDA"),"NO VÁLIDA")</f>
        <v>VÁLIDA</v>
      </c>
      <c r="AG31" s="270"/>
      <c r="AH31" s="163">
        <f t="shared" ref="AH31:AH34" si="325">ROUND($F31*AG31,0)</f>
        <v>0</v>
      </c>
      <c r="AI31" s="164" t="str">
        <f t="shared" ref="AI31:AI34" si="326">+IF(AG31&gt;0,IF(OR(AG31&gt;$G31,ROUND(AG31,0)&gt;$G31),"NO VÁLIDA","VÁLIDA"),"NO VÁLIDA")</f>
        <v>NO VÁLIDA</v>
      </c>
      <c r="AJ31" s="270"/>
      <c r="AK31" s="163">
        <f t="shared" ref="AK31:AK34" si="327">ROUND($F31*AJ31,0)</f>
        <v>0</v>
      </c>
      <c r="AL31" s="164" t="str">
        <f t="shared" ref="AL31:AL34" si="328">+IF(AJ31&gt;0,IF(OR(AJ31&gt;$G31,ROUND(AJ31,0)&gt;$G31),"NO VÁLIDA","VÁLIDA"),"NO VÁLIDA")</f>
        <v>NO VÁLIDA</v>
      </c>
      <c r="AM31" s="270"/>
      <c r="AN31" s="163">
        <f t="shared" ref="AN31:AN34" si="329">ROUND($F31*AM31,0)</f>
        <v>0</v>
      </c>
      <c r="AO31" s="164" t="str">
        <f t="shared" ref="AO31:AO34" si="330">+IF(AM31&gt;0,IF(OR(AM31&gt;$G31,ROUND(AM31,0)&gt;$G31),"NO VÁLIDA","VÁLIDA"),"NO VÁLIDA")</f>
        <v>NO VÁLIDA</v>
      </c>
      <c r="AP31" s="270">
        <v>14000</v>
      </c>
      <c r="AQ31" s="163">
        <f t="shared" ref="AQ31:AQ34" si="331">ROUND($F31*AP31,0)</f>
        <v>11830000</v>
      </c>
      <c r="AR31" s="164" t="str">
        <f t="shared" ref="AR31:AR34" si="332">+IF(AP31&gt;0,IF(OR(AP31&gt;$G31,ROUND(AP31,0)&gt;$G31),"NO VÁLIDA","VÁLIDA"),"NO VÁLIDA")</f>
        <v>VÁLIDA</v>
      </c>
      <c r="AS31" s="270">
        <v>16600</v>
      </c>
      <c r="AT31" s="163">
        <f t="shared" ref="AT31:AT34" si="333">ROUND($F31*AS31,0)</f>
        <v>14027000</v>
      </c>
      <c r="AU31" s="164" t="str">
        <f t="shared" ref="AU31:AU34" si="334">+IF(AS31&gt;0,IF(OR(AS31&gt;$G31,ROUND(AS31,0)&gt;$G31),"NO VÁLIDA","VÁLIDA"),"NO VÁLIDA")</f>
        <v>VÁLIDA</v>
      </c>
      <c r="AV31" s="270">
        <v>16253</v>
      </c>
      <c r="AW31" s="163">
        <f t="shared" ref="AW31:AW34" si="335">ROUND($F31*AV31,0)</f>
        <v>13733785</v>
      </c>
      <c r="AX31" s="164" t="str">
        <f t="shared" ref="AX31:AX34" si="336">+IF(AV31&gt;0,IF(OR(AV31&gt;$G31,ROUND(AV31,0)&gt;$G31),"NO VÁLIDA","VÁLIDA"),"NO VÁLIDA")</f>
        <v>VÁLIDA</v>
      </c>
      <c r="AY31" s="268">
        <v>16698.00000660805</v>
      </c>
      <c r="AZ31" s="163">
        <f t="shared" ref="AZ31:AZ34" si="337">ROUND($F31*AY31,0)</f>
        <v>14109810</v>
      </c>
      <c r="BA31" s="164" t="str">
        <f t="shared" ref="BA31:BA34" si="338">+IF(AY31&gt;0,IF(OR(AY31&gt;$G31,ROUND(AY31,0)&gt;$G31),"NO VÁLIDA","VÁLIDA"),"NO VÁLIDA")</f>
        <v>VÁLIDA</v>
      </c>
      <c r="BB31" s="270">
        <v>16500</v>
      </c>
      <c r="BC31" s="163">
        <f t="shared" ref="BC31:BC34" si="339">ROUND($F31*BB31,0)</f>
        <v>13942500</v>
      </c>
      <c r="BD31" s="164" t="str">
        <f t="shared" ref="BD31:BD34" si="340">+IF(BB31&gt;0,IF(OR(BB31&gt;$G31,ROUND(BB31,0)&gt;$G31),"NO VÁLIDA","VÁLIDA"),"NO VÁLIDA")</f>
        <v>VÁLIDA</v>
      </c>
      <c r="BE31" s="270"/>
      <c r="BF31" s="163">
        <f t="shared" ref="BF31:BF34" si="341">ROUND($F31*BE31,0)</f>
        <v>0</v>
      </c>
      <c r="BG31" s="164" t="str">
        <f t="shared" ref="BG31:BG34" si="342">+IF(BE31&gt;0,IF(OR(BE31&gt;$G31,ROUND(BE31,0)&gt;$G31),"NO VÁLIDA","VÁLIDA"),"NO VÁLIDA")</f>
        <v>NO VÁLIDA</v>
      </c>
      <c r="BH31" s="270"/>
      <c r="BI31" s="163">
        <f t="shared" ref="BI31:BI34" si="343">ROUND($F31*BH31,0)</f>
        <v>0</v>
      </c>
      <c r="BJ31" s="164" t="str">
        <f t="shared" ref="BJ31:BJ34" si="344">+IF(BH31&gt;0,IF(OR(BH31&gt;$G31,ROUND(BH31,0)&gt;$G31),"NO VÁLIDA","VÁLIDA"),"NO VÁLIDA")</f>
        <v>NO VÁLIDA</v>
      </c>
      <c r="BK31" s="270">
        <v>16527</v>
      </c>
      <c r="BL31" s="163">
        <f t="shared" ref="BL31:BL34" si="345">ROUND($F31*BK31,0)</f>
        <v>13965315</v>
      </c>
      <c r="BM31" s="164" t="str">
        <f t="shared" ref="BM31:BM34" si="346">+IF(BK31&gt;0,IF(OR(BK31&gt;$G31,ROUND(BK31,0)&gt;$G31),"NO VÁLIDA","VÁLIDA"),"NO VÁLIDA")</f>
        <v>VÁLIDA</v>
      </c>
      <c r="BN31" s="270">
        <v>16528</v>
      </c>
      <c r="BO31" s="163">
        <f t="shared" ref="BO31:BO34" si="347">ROUND($F31*BN31,0)</f>
        <v>13966160</v>
      </c>
      <c r="BP31" s="164" t="str">
        <f t="shared" ref="BP31:BP34" si="348">+IF(BN31&gt;0,IF(OR(BN31&gt;$G31,ROUND(BN31,0)&gt;$G31),"NO VÁLIDA","VÁLIDA"),"NO VÁLIDA")</f>
        <v>VÁLIDA</v>
      </c>
      <c r="BQ31" s="270">
        <v>16234</v>
      </c>
      <c r="BR31" s="163">
        <f t="shared" ref="BR31:BR34" si="349">ROUND($F31*BQ31,0)</f>
        <v>13717730</v>
      </c>
      <c r="BS31" s="164" t="str">
        <f t="shared" ref="BS31:BS34" si="350">+IF(BQ31&gt;0,IF(OR(BQ31&gt;$G31,ROUND(BQ31,0)&gt;$G31),"NO VÁLIDA","VÁLIDA"),"NO VÁLIDA")</f>
        <v>VÁLIDA</v>
      </c>
    </row>
    <row r="32" spans="1:71" ht="40.5" customHeight="1" x14ac:dyDescent="0.2">
      <c r="A32" s="11"/>
      <c r="B32" s="160">
        <v>15</v>
      </c>
      <c r="C32" s="161" t="s">
        <v>105</v>
      </c>
      <c r="D32" s="298" t="s">
        <v>166</v>
      </c>
      <c r="E32" s="161" t="s">
        <v>98</v>
      </c>
      <c r="F32" s="268">
        <v>490</v>
      </c>
      <c r="G32" s="268">
        <v>168925.125</v>
      </c>
      <c r="H32" s="162">
        <f t="shared" si="308"/>
        <v>82773311</v>
      </c>
      <c r="I32" s="268">
        <v>168925</v>
      </c>
      <c r="J32" s="163">
        <f t="shared" si="309"/>
        <v>82773250</v>
      </c>
      <c r="K32" s="164" t="str">
        <f t="shared" si="310"/>
        <v>VÁLIDA</v>
      </c>
      <c r="L32" s="270">
        <v>166238</v>
      </c>
      <c r="M32" s="163">
        <f t="shared" si="311"/>
        <v>81456620</v>
      </c>
      <c r="N32" s="164" t="str">
        <f t="shared" si="312"/>
        <v>VÁLIDA</v>
      </c>
      <c r="O32" s="268">
        <v>168925.125</v>
      </c>
      <c r="P32" s="163">
        <f t="shared" si="313"/>
        <v>82773311</v>
      </c>
      <c r="Q32" s="164" t="str">
        <f t="shared" si="314"/>
        <v>VÁLIDA</v>
      </c>
      <c r="R32" s="270">
        <v>168920</v>
      </c>
      <c r="S32" s="163">
        <f t="shared" si="315"/>
        <v>82770800</v>
      </c>
      <c r="T32" s="164" t="str">
        <f t="shared" si="316"/>
        <v>VÁLIDA</v>
      </c>
      <c r="U32" s="270">
        <v>168500</v>
      </c>
      <c r="V32" s="163">
        <f t="shared" si="317"/>
        <v>82565000</v>
      </c>
      <c r="W32" s="164" t="str">
        <f t="shared" si="318"/>
        <v>VÁLIDA</v>
      </c>
      <c r="X32" s="270">
        <v>167893</v>
      </c>
      <c r="Y32" s="163">
        <f t="shared" si="319"/>
        <v>82267570</v>
      </c>
      <c r="Z32" s="164" t="str">
        <f t="shared" si="320"/>
        <v>VÁLIDA</v>
      </c>
      <c r="AA32" s="270"/>
      <c r="AB32" s="163">
        <f t="shared" si="321"/>
        <v>0</v>
      </c>
      <c r="AC32" s="164" t="str">
        <f t="shared" si="322"/>
        <v>NO VÁLIDA</v>
      </c>
      <c r="AD32" s="270">
        <v>166645</v>
      </c>
      <c r="AE32" s="163">
        <f t="shared" si="323"/>
        <v>81656050</v>
      </c>
      <c r="AF32" s="164" t="str">
        <f t="shared" si="324"/>
        <v>VÁLIDA</v>
      </c>
      <c r="AG32" s="270"/>
      <c r="AH32" s="163">
        <f t="shared" si="325"/>
        <v>0</v>
      </c>
      <c r="AI32" s="164" t="str">
        <f t="shared" si="326"/>
        <v>NO VÁLIDA</v>
      </c>
      <c r="AJ32" s="270"/>
      <c r="AK32" s="163">
        <f t="shared" si="327"/>
        <v>0</v>
      </c>
      <c r="AL32" s="164" t="str">
        <f t="shared" si="328"/>
        <v>NO VÁLIDA</v>
      </c>
      <c r="AM32" s="270"/>
      <c r="AN32" s="163">
        <f t="shared" si="329"/>
        <v>0</v>
      </c>
      <c r="AO32" s="164" t="str">
        <f t="shared" si="330"/>
        <v>NO VÁLIDA</v>
      </c>
      <c r="AP32" s="270">
        <v>168000</v>
      </c>
      <c r="AQ32" s="163">
        <f t="shared" si="331"/>
        <v>82320000</v>
      </c>
      <c r="AR32" s="164" t="str">
        <f t="shared" si="332"/>
        <v>VÁLIDA</v>
      </c>
      <c r="AS32" s="270">
        <v>168900</v>
      </c>
      <c r="AT32" s="163">
        <f t="shared" si="333"/>
        <v>82761000</v>
      </c>
      <c r="AU32" s="164" t="str">
        <f t="shared" si="334"/>
        <v>VÁLIDA</v>
      </c>
      <c r="AV32" s="270">
        <v>164428</v>
      </c>
      <c r="AW32" s="163">
        <f t="shared" si="335"/>
        <v>80569720</v>
      </c>
      <c r="AX32" s="164" t="str">
        <f t="shared" si="336"/>
        <v>VÁLIDA</v>
      </c>
      <c r="AY32" s="268">
        <v>168925.125</v>
      </c>
      <c r="AZ32" s="163">
        <f t="shared" si="337"/>
        <v>82773311</v>
      </c>
      <c r="BA32" s="164" t="str">
        <f t="shared" si="338"/>
        <v>VÁLIDA</v>
      </c>
      <c r="BB32" s="270">
        <v>165000</v>
      </c>
      <c r="BC32" s="163">
        <f t="shared" si="339"/>
        <v>80850000</v>
      </c>
      <c r="BD32" s="164" t="str">
        <f t="shared" si="340"/>
        <v>VÁLIDA</v>
      </c>
      <c r="BE32" s="270"/>
      <c r="BF32" s="163">
        <f t="shared" si="341"/>
        <v>0</v>
      </c>
      <c r="BG32" s="164" t="str">
        <f t="shared" si="342"/>
        <v>NO VÁLIDA</v>
      </c>
      <c r="BH32" s="270"/>
      <c r="BI32" s="163">
        <f t="shared" si="343"/>
        <v>0</v>
      </c>
      <c r="BJ32" s="164" t="str">
        <f t="shared" si="344"/>
        <v>NO VÁLIDA</v>
      </c>
      <c r="BK32" s="270">
        <v>167192</v>
      </c>
      <c r="BL32" s="163">
        <f t="shared" si="345"/>
        <v>81924080</v>
      </c>
      <c r="BM32" s="164" t="str">
        <f t="shared" si="346"/>
        <v>VÁLIDA</v>
      </c>
      <c r="BN32" s="270">
        <v>167202</v>
      </c>
      <c r="BO32" s="163">
        <f t="shared" si="347"/>
        <v>81928980</v>
      </c>
      <c r="BP32" s="164" t="str">
        <f t="shared" si="348"/>
        <v>VÁLIDA</v>
      </c>
      <c r="BQ32" s="270">
        <v>164229</v>
      </c>
      <c r="BR32" s="163">
        <f t="shared" si="349"/>
        <v>80472210</v>
      </c>
      <c r="BS32" s="164" t="str">
        <f t="shared" si="350"/>
        <v>VÁLIDA</v>
      </c>
    </row>
    <row r="33" spans="1:72" ht="30.6" customHeight="1" x14ac:dyDescent="0.2">
      <c r="A33" s="11"/>
      <c r="B33" s="160">
        <v>16</v>
      </c>
      <c r="C33" s="161" t="s">
        <v>96</v>
      </c>
      <c r="D33" s="298" t="s">
        <v>167</v>
      </c>
      <c r="E33" s="161" t="s">
        <v>98</v>
      </c>
      <c r="F33" s="268">
        <v>16</v>
      </c>
      <c r="G33" s="268">
        <v>395730.0000120324</v>
      </c>
      <c r="H33" s="162">
        <f t="shared" si="308"/>
        <v>6331680</v>
      </c>
      <c r="I33" s="270">
        <v>393562</v>
      </c>
      <c r="J33" s="163">
        <f t="shared" si="309"/>
        <v>6296992</v>
      </c>
      <c r="K33" s="164" t="str">
        <f t="shared" si="310"/>
        <v>VÁLIDA</v>
      </c>
      <c r="L33" s="270">
        <v>395730</v>
      </c>
      <c r="M33" s="163">
        <f t="shared" si="311"/>
        <v>6331680</v>
      </c>
      <c r="N33" s="164" t="str">
        <f t="shared" si="312"/>
        <v>VÁLIDA</v>
      </c>
      <c r="O33" s="268">
        <v>395730.0000120324</v>
      </c>
      <c r="P33" s="163">
        <f t="shared" si="313"/>
        <v>6331680</v>
      </c>
      <c r="Q33" s="164" t="str">
        <f t="shared" si="314"/>
        <v>VÁLIDA</v>
      </c>
      <c r="R33" s="270">
        <v>395720</v>
      </c>
      <c r="S33" s="163">
        <f t="shared" si="315"/>
        <v>6331520</v>
      </c>
      <c r="T33" s="164" t="str">
        <f t="shared" si="316"/>
        <v>VÁLIDA</v>
      </c>
      <c r="U33" s="270">
        <v>395500</v>
      </c>
      <c r="V33" s="163">
        <f t="shared" si="317"/>
        <v>6328000</v>
      </c>
      <c r="W33" s="164" t="str">
        <f t="shared" si="318"/>
        <v>VÁLIDA</v>
      </c>
      <c r="X33" s="270">
        <v>393312</v>
      </c>
      <c r="Y33" s="163">
        <f t="shared" si="319"/>
        <v>6292992</v>
      </c>
      <c r="Z33" s="164" t="str">
        <f t="shared" si="320"/>
        <v>VÁLIDA</v>
      </c>
      <c r="AA33" s="270"/>
      <c r="AB33" s="163">
        <f t="shared" si="321"/>
        <v>0</v>
      </c>
      <c r="AC33" s="164" t="str">
        <f t="shared" si="322"/>
        <v>NO VÁLIDA</v>
      </c>
      <c r="AD33" s="270">
        <v>390388</v>
      </c>
      <c r="AE33" s="163">
        <f t="shared" si="323"/>
        <v>6246208</v>
      </c>
      <c r="AF33" s="164" t="str">
        <f t="shared" si="324"/>
        <v>VÁLIDA</v>
      </c>
      <c r="AG33" s="270"/>
      <c r="AH33" s="163">
        <f t="shared" si="325"/>
        <v>0</v>
      </c>
      <c r="AI33" s="164" t="str">
        <f t="shared" si="326"/>
        <v>NO VÁLIDA</v>
      </c>
      <c r="AJ33" s="270"/>
      <c r="AK33" s="163">
        <f t="shared" si="327"/>
        <v>0</v>
      </c>
      <c r="AL33" s="164" t="str">
        <f t="shared" si="328"/>
        <v>NO VÁLIDA</v>
      </c>
      <c r="AM33" s="270"/>
      <c r="AN33" s="163">
        <f t="shared" si="329"/>
        <v>0</v>
      </c>
      <c r="AO33" s="164" t="str">
        <f t="shared" si="330"/>
        <v>NO VÁLIDA</v>
      </c>
      <c r="AP33" s="270">
        <v>395730</v>
      </c>
      <c r="AQ33" s="163">
        <f t="shared" si="331"/>
        <v>6331680</v>
      </c>
      <c r="AR33" s="164" t="str">
        <f t="shared" si="332"/>
        <v>VÁLIDA</v>
      </c>
      <c r="AS33" s="270">
        <v>395730</v>
      </c>
      <c r="AT33" s="163">
        <f t="shared" si="333"/>
        <v>6331680</v>
      </c>
      <c r="AU33" s="164" t="str">
        <f t="shared" si="334"/>
        <v>VÁLIDA</v>
      </c>
      <c r="AV33" s="270">
        <v>385194</v>
      </c>
      <c r="AW33" s="163">
        <f t="shared" si="335"/>
        <v>6163104</v>
      </c>
      <c r="AX33" s="164" t="str">
        <f t="shared" si="336"/>
        <v>VÁLIDA</v>
      </c>
      <c r="AY33" s="268">
        <v>395730.0000120324</v>
      </c>
      <c r="AZ33" s="163">
        <f t="shared" si="337"/>
        <v>6331680</v>
      </c>
      <c r="BA33" s="164" t="str">
        <f t="shared" si="338"/>
        <v>VÁLIDA</v>
      </c>
      <c r="BB33" s="270">
        <v>390000</v>
      </c>
      <c r="BC33" s="163">
        <f t="shared" si="339"/>
        <v>6240000</v>
      </c>
      <c r="BD33" s="164" t="str">
        <f t="shared" si="340"/>
        <v>VÁLIDA</v>
      </c>
      <c r="BE33" s="270"/>
      <c r="BF33" s="163">
        <f t="shared" si="341"/>
        <v>0</v>
      </c>
      <c r="BG33" s="164" t="str">
        <f t="shared" si="342"/>
        <v>NO VÁLIDA</v>
      </c>
      <c r="BH33" s="270"/>
      <c r="BI33" s="163">
        <f t="shared" si="343"/>
        <v>0</v>
      </c>
      <c r="BJ33" s="164" t="str">
        <f t="shared" si="344"/>
        <v>NO VÁLIDA</v>
      </c>
      <c r="BK33" s="270">
        <v>391670</v>
      </c>
      <c r="BL33" s="163">
        <f t="shared" si="345"/>
        <v>6266720</v>
      </c>
      <c r="BM33" s="164" t="str">
        <f t="shared" si="346"/>
        <v>VÁLIDA</v>
      </c>
      <c r="BN33" s="270">
        <v>391694</v>
      </c>
      <c r="BO33" s="163">
        <f t="shared" si="347"/>
        <v>6267104</v>
      </c>
      <c r="BP33" s="164" t="str">
        <f t="shared" si="348"/>
        <v>VÁLIDA</v>
      </c>
      <c r="BQ33" s="270">
        <v>384729</v>
      </c>
      <c r="BR33" s="163">
        <f t="shared" si="349"/>
        <v>6155664</v>
      </c>
      <c r="BS33" s="164" t="str">
        <f t="shared" si="350"/>
        <v>VÁLIDA</v>
      </c>
    </row>
    <row r="34" spans="1:72" ht="30.6" customHeight="1" thickBot="1" x14ac:dyDescent="0.25">
      <c r="A34" s="11"/>
      <c r="B34" s="160">
        <v>17</v>
      </c>
      <c r="C34" s="161" t="s">
        <v>97</v>
      </c>
      <c r="D34" s="298" t="s">
        <v>168</v>
      </c>
      <c r="E34" s="161" t="s">
        <v>100</v>
      </c>
      <c r="F34" s="268">
        <v>26210</v>
      </c>
      <c r="G34" s="268">
        <v>3980.9999999999982</v>
      </c>
      <c r="H34" s="162">
        <f t="shared" si="308"/>
        <v>104342010</v>
      </c>
      <c r="I34" s="272">
        <v>3981</v>
      </c>
      <c r="J34" s="240">
        <f t="shared" si="309"/>
        <v>104342010</v>
      </c>
      <c r="K34" s="241" t="str">
        <f t="shared" si="310"/>
        <v>VÁLIDA</v>
      </c>
      <c r="L34" s="272">
        <v>3980.9999999999982</v>
      </c>
      <c r="M34" s="240">
        <f t="shared" si="311"/>
        <v>104342010</v>
      </c>
      <c r="N34" s="241" t="str">
        <f t="shared" si="312"/>
        <v>VÁLIDA</v>
      </c>
      <c r="O34" s="268">
        <v>3980.9999999999982</v>
      </c>
      <c r="P34" s="240">
        <f t="shared" si="313"/>
        <v>104342010</v>
      </c>
      <c r="Q34" s="241" t="str">
        <f t="shared" si="314"/>
        <v>VÁLIDA</v>
      </c>
      <c r="R34" s="272">
        <v>3980</v>
      </c>
      <c r="S34" s="240">
        <f t="shared" si="315"/>
        <v>104315800</v>
      </c>
      <c r="T34" s="241" t="str">
        <f t="shared" si="316"/>
        <v>VÁLIDA</v>
      </c>
      <c r="U34" s="272">
        <v>3900</v>
      </c>
      <c r="V34" s="240">
        <f t="shared" si="317"/>
        <v>102219000</v>
      </c>
      <c r="W34" s="241" t="str">
        <f t="shared" si="318"/>
        <v>VÁLIDA</v>
      </c>
      <c r="X34" s="272">
        <v>3957</v>
      </c>
      <c r="Y34" s="240">
        <f t="shared" si="319"/>
        <v>103712970</v>
      </c>
      <c r="Z34" s="241" t="str">
        <f t="shared" si="320"/>
        <v>VÁLIDA</v>
      </c>
      <c r="AA34" s="272"/>
      <c r="AB34" s="240">
        <f t="shared" si="321"/>
        <v>0</v>
      </c>
      <c r="AC34" s="241" t="str">
        <f t="shared" si="322"/>
        <v>NO VÁLIDA</v>
      </c>
      <c r="AD34" s="272">
        <v>3927</v>
      </c>
      <c r="AE34" s="240">
        <f t="shared" si="323"/>
        <v>102926670</v>
      </c>
      <c r="AF34" s="241" t="str">
        <f t="shared" si="324"/>
        <v>VÁLIDA</v>
      </c>
      <c r="AG34" s="272"/>
      <c r="AH34" s="240">
        <f t="shared" si="325"/>
        <v>0</v>
      </c>
      <c r="AI34" s="241" t="str">
        <f t="shared" si="326"/>
        <v>NO VÁLIDA</v>
      </c>
      <c r="AJ34" s="272"/>
      <c r="AK34" s="240">
        <f t="shared" si="327"/>
        <v>0</v>
      </c>
      <c r="AL34" s="241" t="str">
        <f t="shared" si="328"/>
        <v>NO VÁLIDA</v>
      </c>
      <c r="AM34" s="272"/>
      <c r="AN34" s="240">
        <f t="shared" si="329"/>
        <v>0</v>
      </c>
      <c r="AO34" s="241" t="str">
        <f t="shared" si="330"/>
        <v>NO VÁLIDA</v>
      </c>
      <c r="AP34" s="272">
        <v>3981</v>
      </c>
      <c r="AQ34" s="240">
        <f t="shared" si="331"/>
        <v>104342010</v>
      </c>
      <c r="AR34" s="241" t="str">
        <f t="shared" si="332"/>
        <v>VÁLIDA</v>
      </c>
      <c r="AS34" s="272">
        <v>3980</v>
      </c>
      <c r="AT34" s="240">
        <f t="shared" si="333"/>
        <v>104315800</v>
      </c>
      <c r="AU34" s="241" t="str">
        <f t="shared" si="334"/>
        <v>VÁLIDA</v>
      </c>
      <c r="AV34" s="272">
        <v>3875</v>
      </c>
      <c r="AW34" s="240">
        <f t="shared" si="335"/>
        <v>101563750</v>
      </c>
      <c r="AX34" s="241" t="str">
        <f t="shared" si="336"/>
        <v>VÁLIDA</v>
      </c>
      <c r="AY34" s="268">
        <v>3980.9999999999982</v>
      </c>
      <c r="AZ34" s="240">
        <f t="shared" si="337"/>
        <v>104342010</v>
      </c>
      <c r="BA34" s="241" t="str">
        <f t="shared" si="338"/>
        <v>VÁLIDA</v>
      </c>
      <c r="BB34" s="272">
        <v>3850</v>
      </c>
      <c r="BC34" s="240">
        <f t="shared" si="339"/>
        <v>100908500</v>
      </c>
      <c r="BD34" s="241" t="str">
        <f t="shared" si="340"/>
        <v>VÁLIDA</v>
      </c>
      <c r="BE34" s="272"/>
      <c r="BF34" s="240">
        <f t="shared" si="341"/>
        <v>0</v>
      </c>
      <c r="BG34" s="241" t="str">
        <f t="shared" si="342"/>
        <v>NO VÁLIDA</v>
      </c>
      <c r="BH34" s="272"/>
      <c r="BI34" s="240">
        <f t="shared" si="343"/>
        <v>0</v>
      </c>
      <c r="BJ34" s="241" t="str">
        <f t="shared" si="344"/>
        <v>NO VÁLIDA</v>
      </c>
      <c r="BK34" s="272">
        <v>3940</v>
      </c>
      <c r="BL34" s="240">
        <f t="shared" si="345"/>
        <v>103267400</v>
      </c>
      <c r="BM34" s="241" t="str">
        <f t="shared" si="346"/>
        <v>VÁLIDA</v>
      </c>
      <c r="BN34" s="272">
        <v>3940</v>
      </c>
      <c r="BO34" s="240">
        <f t="shared" si="347"/>
        <v>103267400</v>
      </c>
      <c r="BP34" s="241" t="str">
        <f t="shared" si="348"/>
        <v>VÁLIDA</v>
      </c>
      <c r="BQ34" s="272">
        <v>3870</v>
      </c>
      <c r="BR34" s="240">
        <f t="shared" si="349"/>
        <v>101432700</v>
      </c>
      <c r="BS34" s="241" t="str">
        <f t="shared" si="350"/>
        <v>VÁLIDA</v>
      </c>
    </row>
    <row r="35" spans="1:72" ht="22.5" customHeight="1" x14ac:dyDescent="0.2">
      <c r="A35" s="11"/>
      <c r="B35" s="158" t="s">
        <v>122</v>
      </c>
      <c r="C35" s="159"/>
      <c r="D35" s="159"/>
      <c r="E35" s="159"/>
      <c r="F35" s="269"/>
      <c r="G35" s="269"/>
      <c r="H35" s="186">
        <f>SUM(H36:H38)</f>
        <v>43133585</v>
      </c>
      <c r="I35" s="271"/>
      <c r="J35" s="188">
        <f>SUM(J36:J38)</f>
        <v>41252104</v>
      </c>
      <c r="K35" s="189"/>
      <c r="L35" s="271"/>
      <c r="M35" s="188">
        <f t="shared" ref="M35" si="351">SUM(M36:M38)</f>
        <v>43046485</v>
      </c>
      <c r="N35" s="189"/>
      <c r="O35" s="271"/>
      <c r="P35" s="188">
        <f t="shared" ref="P35" si="352">SUM(P36:P38)</f>
        <v>43133585</v>
      </c>
      <c r="Q35" s="189"/>
      <c r="R35" s="271"/>
      <c r="S35" s="188">
        <f t="shared" ref="S35" si="353">SUM(S36:S38)</f>
        <v>42936433</v>
      </c>
      <c r="T35" s="189"/>
      <c r="U35" s="271"/>
      <c r="V35" s="188">
        <f t="shared" ref="V35" si="354">SUM(V36:V38)</f>
        <v>42675429</v>
      </c>
      <c r="W35" s="189"/>
      <c r="X35" s="271"/>
      <c r="Y35" s="188">
        <f t="shared" ref="Y35" si="355">SUM(Y36:Y38)</f>
        <v>42879584</v>
      </c>
      <c r="Z35" s="189"/>
      <c r="AA35" s="271"/>
      <c r="AB35" s="188">
        <f t="shared" ref="AB35" si="356">SUM(AB36:AB38)</f>
        <v>0</v>
      </c>
      <c r="AC35" s="189"/>
      <c r="AD35" s="271"/>
      <c r="AE35" s="188">
        <f t="shared" ref="AE35" si="357">SUM(AE36:AE38)</f>
        <v>42546581</v>
      </c>
      <c r="AF35" s="189"/>
      <c r="AG35" s="271"/>
      <c r="AH35" s="188">
        <f t="shared" ref="AH35" si="358">SUM(AH36:AH38)</f>
        <v>0</v>
      </c>
      <c r="AI35" s="189"/>
      <c r="AJ35" s="271"/>
      <c r="AK35" s="188">
        <f t="shared" ref="AK35" si="359">SUM(AK36:AK38)</f>
        <v>0</v>
      </c>
      <c r="AL35" s="189"/>
      <c r="AM35" s="271"/>
      <c r="AN35" s="188">
        <f t="shared" ref="AN35" si="360">SUM(AN36:AN38)</f>
        <v>0</v>
      </c>
      <c r="AO35" s="189"/>
      <c r="AP35" s="271"/>
      <c r="AQ35" s="188">
        <f t="shared" ref="AQ35" si="361">SUM(AQ36:AQ38)</f>
        <v>43126486</v>
      </c>
      <c r="AR35" s="189"/>
      <c r="AS35" s="271"/>
      <c r="AT35" s="188">
        <f t="shared" ref="AT35" si="362">SUM(AT36:AT38)</f>
        <v>43090436</v>
      </c>
      <c r="AU35" s="189"/>
      <c r="AV35" s="271"/>
      <c r="AW35" s="188">
        <f t="shared" ref="AW35" si="363">SUM(AW36:AW38)</f>
        <v>41993875</v>
      </c>
      <c r="AX35" s="189"/>
      <c r="AY35" s="271"/>
      <c r="AZ35" s="188">
        <f t="shared" ref="AZ35" si="364">SUM(AZ36:AZ38)</f>
        <v>41351535</v>
      </c>
      <c r="BA35" s="189"/>
      <c r="BB35" s="271"/>
      <c r="BC35" s="188">
        <f t="shared" ref="BC35" si="365">SUM(BC36:BC38)</f>
        <v>42625429</v>
      </c>
      <c r="BD35" s="189"/>
      <c r="BE35" s="271"/>
      <c r="BF35" s="188">
        <f t="shared" ref="BF35" si="366">SUM(BF36:BF38)</f>
        <v>0</v>
      </c>
      <c r="BG35" s="189"/>
      <c r="BH35" s="271"/>
      <c r="BI35" s="188">
        <f t="shared" ref="BI35" si="367">SUM(BI36:BI38)</f>
        <v>0</v>
      </c>
      <c r="BJ35" s="189"/>
      <c r="BK35" s="271"/>
      <c r="BL35" s="188">
        <f t="shared" ref="BL35" si="368">SUM(BL36:BL38)</f>
        <v>42693582</v>
      </c>
      <c r="BM35" s="189"/>
      <c r="BN35" s="271"/>
      <c r="BO35" s="188">
        <f t="shared" ref="BO35" si="369">SUM(BO36:BO38)</f>
        <v>42694332</v>
      </c>
      <c r="BP35" s="189"/>
      <c r="BQ35" s="271"/>
      <c r="BR35" s="188">
        <f t="shared" ref="BR35" si="370">SUM(BR36:BR38)</f>
        <v>41930324</v>
      </c>
      <c r="BS35" s="189"/>
    </row>
    <row r="36" spans="1:72" ht="50.45" customHeight="1" x14ac:dyDescent="0.2">
      <c r="A36" s="11"/>
      <c r="B36" s="160">
        <v>18</v>
      </c>
      <c r="C36" s="161" t="s">
        <v>106</v>
      </c>
      <c r="D36" s="298" t="s">
        <v>169</v>
      </c>
      <c r="E36" s="161" t="s">
        <v>131</v>
      </c>
      <c r="F36" s="268">
        <v>20000.389998638806</v>
      </c>
      <c r="G36" s="268">
        <v>1119.3548999999998</v>
      </c>
      <c r="H36" s="162">
        <f t="shared" ref="H36:H38" si="371">ROUND(G36*F36,0)</f>
        <v>22387535</v>
      </c>
      <c r="I36" s="268">
        <v>1036</v>
      </c>
      <c r="J36" s="163">
        <f t="shared" ref="J36:J38" si="372">ROUND($F36*I36,0)</f>
        <v>20720404</v>
      </c>
      <c r="K36" s="164" t="str">
        <f t="shared" ref="K36:K38" si="373">+IF(I36&gt;0,IF(OR(I36&gt;$G36,ROUND(I36,0)&gt;$G36),"NO VÁLIDA","VÁLIDA"),"NO VÁLIDA")</f>
        <v>VÁLIDA</v>
      </c>
      <c r="L36" s="270">
        <v>1115</v>
      </c>
      <c r="M36" s="309">
        <f t="shared" ref="M36:M38" si="374">ROUND($F36*L36,0)</f>
        <v>22300435</v>
      </c>
      <c r="N36" s="164" t="str">
        <f t="shared" ref="N36:N38" si="375">+IF(L36&gt;0,IF(OR(L36&gt;$G36,ROUND(L36,0)&gt;$G36),"NO VÁLIDA","VÁLIDA"),"NO VÁLIDA")</f>
        <v>VÁLIDA</v>
      </c>
      <c r="O36" s="268">
        <v>1119.3548999999998</v>
      </c>
      <c r="P36" s="163">
        <f t="shared" ref="P36:P38" si="376">ROUND($F36*O36,0)</f>
        <v>22387535</v>
      </c>
      <c r="Q36" s="164" t="str">
        <f t="shared" ref="Q36:Q38" si="377">+IF(O36&gt;0,IF(OR(O36&gt;$G36,ROUND(O36,0)&gt;$G36),"NO VÁLIDA","VÁLIDA"),"NO VÁLIDA")</f>
        <v>VÁLIDA</v>
      </c>
      <c r="R36" s="270">
        <v>1110</v>
      </c>
      <c r="S36" s="163">
        <f t="shared" ref="S36:S38" si="378">ROUND($F36*R36,0)</f>
        <v>22200433</v>
      </c>
      <c r="T36" s="164" t="str">
        <f t="shared" ref="T36:T38" si="379">+IF(R36&gt;0,IF(OR(R36&gt;$G36,ROUND(R36,0)&gt;$G36),"NO VÁLIDA","VÁLIDA"),"NO VÁLIDA")</f>
        <v>VÁLIDA</v>
      </c>
      <c r="U36" s="268">
        <v>1100</v>
      </c>
      <c r="V36" s="163">
        <f t="shared" ref="V36:V38" si="380">ROUND($F36*U36,0)</f>
        <v>22000429</v>
      </c>
      <c r="W36" s="164" t="str">
        <f t="shared" ref="W36:W38" si="381">+IF(U36&gt;0,IF(OR(U36&gt;$G36,ROUND(U36,0)&gt;$G36),"NO VÁLIDA","VÁLIDA"),"NO VÁLIDA")</f>
        <v>VÁLIDA</v>
      </c>
      <c r="X36" s="270">
        <v>1113</v>
      </c>
      <c r="Y36" s="163">
        <f t="shared" ref="Y36:Y38" si="382">ROUND($F36*X36,0)</f>
        <v>22260434</v>
      </c>
      <c r="Z36" s="164" t="str">
        <f t="shared" ref="Z36:Z38" si="383">+IF(X36&gt;0,IF(OR(X36&gt;$G36,ROUND(X36,0)&gt;$G36),"NO VÁLIDA","VÁLIDA"),"NO VÁLIDA")</f>
        <v>VÁLIDA</v>
      </c>
      <c r="AA36" s="270"/>
      <c r="AB36" s="163">
        <f t="shared" ref="AB36:AB38" si="384">ROUND($F36*AA36,0)</f>
        <v>0</v>
      </c>
      <c r="AC36" s="164" t="str">
        <f t="shared" ref="AC36:AC38" si="385">+IF(AA36&gt;0,IF(OR(AA36&gt;$G36,ROUND(AA36,0)&gt;$G36),"NO VÁLIDA","VÁLIDA"),"NO VÁLIDA")</f>
        <v>NO VÁLIDA</v>
      </c>
      <c r="AD36" s="270">
        <v>1104</v>
      </c>
      <c r="AE36" s="309">
        <f t="shared" ref="AE36:AE38" si="386">ROUND($F36*AD36,0)</f>
        <v>22080431</v>
      </c>
      <c r="AF36" s="164" t="str">
        <f t="shared" ref="AF36:AF38" si="387">+IF(AD36&gt;0,IF(OR(AD36&gt;$G36,ROUND(AD36,0)&gt;$G36),"NO VÁLIDA","VÁLIDA"),"NO VÁLIDA")</f>
        <v>VÁLIDA</v>
      </c>
      <c r="AG36" s="270"/>
      <c r="AH36" s="163">
        <f t="shared" ref="AH36:AH38" si="388">ROUND($F36*AG36,0)</f>
        <v>0</v>
      </c>
      <c r="AI36" s="164" t="str">
        <f t="shared" ref="AI36:AI38" si="389">+IF(AG36&gt;0,IF(OR(AG36&gt;$G36,ROUND(AG36,0)&gt;$G36),"NO VÁLIDA","VÁLIDA"),"NO VÁLIDA")</f>
        <v>NO VÁLIDA</v>
      </c>
      <c r="AJ36" s="270"/>
      <c r="AK36" s="163">
        <f t="shared" ref="AK36:AK38" si="390">ROUND($F36*AJ36,0)</f>
        <v>0</v>
      </c>
      <c r="AL36" s="164" t="str">
        <f t="shared" ref="AL36:AL38" si="391">+IF(AJ36&gt;0,IF(OR(AJ36&gt;$G36,ROUND(AJ36,0)&gt;$G36),"NO VÁLIDA","VÁLIDA"),"NO VÁLIDA")</f>
        <v>NO VÁLIDA</v>
      </c>
      <c r="AM36" s="270"/>
      <c r="AN36" s="163">
        <f t="shared" ref="AN36:AN38" si="392">ROUND($F36*AM36,0)</f>
        <v>0</v>
      </c>
      <c r="AO36" s="164" t="str">
        <f t="shared" ref="AO36:AO38" si="393">+IF(AM36&gt;0,IF(OR(AM36&gt;$G36,ROUND(AM36,0)&gt;$G36),"NO VÁLIDA","VÁLIDA"),"NO VÁLIDA")</f>
        <v>NO VÁLIDA</v>
      </c>
      <c r="AP36" s="270">
        <v>1119</v>
      </c>
      <c r="AQ36" s="163">
        <f t="shared" ref="AQ36:AQ38" si="394">ROUND($F36*AP36,0)</f>
        <v>22380436</v>
      </c>
      <c r="AR36" s="164" t="str">
        <f t="shared" ref="AR36:AR38" si="395">+IF(AP36&gt;0,IF(OR(AP36&gt;$G36,ROUND(AP36,0)&gt;$G36),"NO VÁLIDA","VÁLIDA"),"NO VÁLIDA")</f>
        <v>VÁLIDA</v>
      </c>
      <c r="AS36" s="268">
        <v>1119</v>
      </c>
      <c r="AT36" s="309">
        <f t="shared" ref="AT36:AT38" si="396">ROUND($F36*AS36,0)</f>
        <v>22380436</v>
      </c>
      <c r="AU36" s="164" t="str">
        <f t="shared" ref="AU36:AU38" si="397">+IF(AS36&gt;0,IF(OR(AS36&gt;$G36,ROUND(AS36,0)&gt;$G36),"NO VÁLIDA","VÁLIDA"),"NO VÁLIDA")</f>
        <v>VÁLIDA</v>
      </c>
      <c r="AV36" s="270">
        <v>1090</v>
      </c>
      <c r="AW36" s="163">
        <f t="shared" ref="AW36:AW38" si="398">ROUND($F36*AV36,0)</f>
        <v>21800425</v>
      </c>
      <c r="AX36" s="164" t="str">
        <f t="shared" ref="AX36:AX38" si="399">+IF(AV36&gt;0,IF(OR(AV36&gt;$G36,ROUND(AV36,0)&gt;$G36),"NO VÁLIDA","VÁLIDA"),"NO VÁLIDA")</f>
        <v>VÁLIDA</v>
      </c>
      <c r="AY36" s="268">
        <v>1119.3548999999998</v>
      </c>
      <c r="AZ36" s="309">
        <f t="shared" ref="AZ36:AZ38" si="400">ROUND($F36*AY36,0)</f>
        <v>22387535</v>
      </c>
      <c r="BA36" s="164" t="str">
        <f t="shared" ref="BA36:BA38" si="401">+IF(AY36&gt;0,IF(OR(AY36&gt;$G36,ROUND(AY36,0)&gt;$G36),"NO VÁLIDA","VÁLIDA"),"NO VÁLIDA")</f>
        <v>VÁLIDA</v>
      </c>
      <c r="BB36" s="270">
        <v>1100</v>
      </c>
      <c r="BC36" s="163">
        <f t="shared" ref="BC36:BC38" si="402">ROUND($F36*BB36,0)</f>
        <v>22000429</v>
      </c>
      <c r="BD36" s="164" t="str">
        <f t="shared" ref="BD36:BD38" si="403">+IF(BB36&gt;0,IF(OR(BB36&gt;$G36,ROUND(BB36,0)&gt;$G36),"NO VÁLIDA","VÁLIDA"),"NO VÁLIDA")</f>
        <v>VÁLIDA</v>
      </c>
      <c r="BE36" s="270"/>
      <c r="BF36" s="163">
        <f t="shared" ref="BF36:BF38" si="404">ROUND($F36*BE36,0)</f>
        <v>0</v>
      </c>
      <c r="BG36" s="164" t="str">
        <f t="shared" ref="BG36:BG38" si="405">+IF(BE36&gt;0,IF(OR(BE36&gt;$G36,ROUND(BE36,0)&gt;$G36),"NO VÁLIDA","VÁLIDA"),"NO VÁLIDA")</f>
        <v>NO VÁLIDA</v>
      </c>
      <c r="BH36" s="270"/>
      <c r="BI36" s="163">
        <f t="shared" ref="BI36:BI38" si="406">ROUND($F36*BH36,0)</f>
        <v>0</v>
      </c>
      <c r="BJ36" s="164" t="str">
        <f t="shared" ref="BJ36:BJ38" si="407">+IF(BH36&gt;0,IF(OR(BH36&gt;$G36,ROUND(BH36,0)&gt;$G36),"NO VÁLIDA","VÁLIDA"),"NO VÁLIDA")</f>
        <v>NO VÁLIDA</v>
      </c>
      <c r="BK36" s="270">
        <v>1108</v>
      </c>
      <c r="BL36" s="163">
        <f t="shared" ref="BL36:BL38" si="408">ROUND($F36*BK36,0)</f>
        <v>22160432</v>
      </c>
      <c r="BM36" s="164" t="str">
        <f t="shared" ref="BM36:BM38" si="409">+IF(BK36&gt;0,IF(OR(BK36&gt;$G36,ROUND(BK36,0)&gt;$G36),"NO VÁLIDA","VÁLIDA"),"NO VÁLIDA")</f>
        <v>VÁLIDA</v>
      </c>
      <c r="BN36" s="270">
        <v>1108</v>
      </c>
      <c r="BO36" s="163">
        <f t="shared" ref="BO36:BO38" si="410">ROUND($F36*BN36,0)</f>
        <v>22160432</v>
      </c>
      <c r="BP36" s="164" t="str">
        <f t="shared" ref="BP36:BP38" si="411">+IF(BN36&gt;0,IF(OR(BN36&gt;$G36,ROUND(BN36,0)&gt;$G36),"NO VÁLIDA","VÁLIDA"),"NO VÁLIDA")</f>
        <v>VÁLIDA</v>
      </c>
      <c r="BQ36" s="270">
        <v>1088</v>
      </c>
      <c r="BR36" s="163">
        <f t="shared" ref="BR36:BR38" si="412">ROUND($F36*BQ36,0)</f>
        <v>21760424</v>
      </c>
      <c r="BS36" s="164" t="str">
        <f t="shared" ref="BS36:BS38" si="413">+IF(BQ36&gt;0,IF(OR(BQ36&gt;$G36,ROUND(BQ36,0)&gt;$G36),"NO VÁLIDA","VÁLIDA"),"NO VÁLIDA")</f>
        <v>VÁLIDA</v>
      </c>
    </row>
    <row r="37" spans="1:72" ht="40.5" customHeight="1" x14ac:dyDescent="0.2">
      <c r="A37" s="11"/>
      <c r="B37" s="160">
        <v>19</v>
      </c>
      <c r="C37" s="161" t="s">
        <v>151</v>
      </c>
      <c r="D37" s="298" t="s">
        <v>170</v>
      </c>
      <c r="E37" s="161" t="s">
        <v>171</v>
      </c>
      <c r="F37" s="268">
        <v>1250</v>
      </c>
      <c r="G37" s="268">
        <v>6528</v>
      </c>
      <c r="H37" s="162">
        <f t="shared" si="371"/>
        <v>8160000</v>
      </c>
      <c r="I37" s="270">
        <v>6526</v>
      </c>
      <c r="J37" s="163">
        <f t="shared" si="372"/>
        <v>8157500</v>
      </c>
      <c r="K37" s="164" t="str">
        <f t="shared" si="373"/>
        <v>VÁLIDA</v>
      </c>
      <c r="L37" s="270">
        <v>6528</v>
      </c>
      <c r="M37" s="163">
        <f t="shared" si="374"/>
        <v>8160000</v>
      </c>
      <c r="N37" s="164" t="str">
        <f t="shared" si="375"/>
        <v>VÁLIDA</v>
      </c>
      <c r="O37" s="268">
        <v>6528</v>
      </c>
      <c r="P37" s="163">
        <f t="shared" si="376"/>
        <v>8160000</v>
      </c>
      <c r="Q37" s="164" t="str">
        <f t="shared" si="377"/>
        <v>VÁLIDA</v>
      </c>
      <c r="R37" s="270">
        <v>6520</v>
      </c>
      <c r="S37" s="163">
        <f t="shared" si="378"/>
        <v>8150000</v>
      </c>
      <c r="T37" s="164" t="str">
        <f t="shared" si="379"/>
        <v>VÁLIDA</v>
      </c>
      <c r="U37" s="270">
        <v>6500</v>
      </c>
      <c r="V37" s="163">
        <f t="shared" si="380"/>
        <v>8125000</v>
      </c>
      <c r="W37" s="164" t="str">
        <f t="shared" si="381"/>
        <v>VÁLIDA</v>
      </c>
      <c r="X37" s="270">
        <v>6488</v>
      </c>
      <c r="Y37" s="163">
        <f t="shared" si="382"/>
        <v>8110000</v>
      </c>
      <c r="Z37" s="164" t="str">
        <f t="shared" si="383"/>
        <v>VÁLIDA</v>
      </c>
      <c r="AA37" s="270"/>
      <c r="AB37" s="163">
        <f t="shared" si="384"/>
        <v>0</v>
      </c>
      <c r="AC37" s="164" t="str">
        <f t="shared" si="385"/>
        <v>NO VÁLIDA</v>
      </c>
      <c r="AD37" s="270">
        <v>6440</v>
      </c>
      <c r="AE37" s="163">
        <f t="shared" si="386"/>
        <v>8050000</v>
      </c>
      <c r="AF37" s="164" t="str">
        <f t="shared" si="387"/>
        <v>VÁLIDA</v>
      </c>
      <c r="AG37" s="270"/>
      <c r="AH37" s="163">
        <f t="shared" si="388"/>
        <v>0</v>
      </c>
      <c r="AI37" s="164" t="str">
        <f t="shared" si="389"/>
        <v>NO VÁLIDA</v>
      </c>
      <c r="AJ37" s="270"/>
      <c r="AK37" s="163">
        <f t="shared" si="390"/>
        <v>0</v>
      </c>
      <c r="AL37" s="164" t="str">
        <f t="shared" si="391"/>
        <v>NO VÁLIDA</v>
      </c>
      <c r="AM37" s="270"/>
      <c r="AN37" s="163">
        <f t="shared" si="392"/>
        <v>0</v>
      </c>
      <c r="AO37" s="164" t="str">
        <f t="shared" si="393"/>
        <v>NO VÁLIDA</v>
      </c>
      <c r="AP37" s="270">
        <v>6528</v>
      </c>
      <c r="AQ37" s="163">
        <f t="shared" si="394"/>
        <v>8160000</v>
      </c>
      <c r="AR37" s="164" t="str">
        <f t="shared" si="395"/>
        <v>VÁLIDA</v>
      </c>
      <c r="AS37" s="270">
        <v>6500</v>
      </c>
      <c r="AT37" s="163">
        <f t="shared" si="396"/>
        <v>8125000</v>
      </c>
      <c r="AU37" s="164" t="str">
        <f t="shared" si="397"/>
        <v>VÁLIDA</v>
      </c>
      <c r="AV37" s="270">
        <v>6354</v>
      </c>
      <c r="AW37" s="163">
        <f t="shared" si="398"/>
        <v>7942500</v>
      </c>
      <c r="AX37" s="164" t="str">
        <f t="shared" si="399"/>
        <v>VÁLIDA</v>
      </c>
      <c r="AY37" s="270">
        <v>5118</v>
      </c>
      <c r="AZ37" s="309">
        <f t="shared" si="400"/>
        <v>6397500</v>
      </c>
      <c r="BA37" s="164" t="str">
        <f t="shared" si="401"/>
        <v>VÁLIDA</v>
      </c>
      <c r="BB37" s="270">
        <v>6500</v>
      </c>
      <c r="BC37" s="163">
        <f t="shared" si="402"/>
        <v>8125000</v>
      </c>
      <c r="BD37" s="164" t="str">
        <f t="shared" si="403"/>
        <v>VÁLIDA</v>
      </c>
      <c r="BE37" s="270"/>
      <c r="BF37" s="163">
        <f t="shared" si="404"/>
        <v>0</v>
      </c>
      <c r="BG37" s="164" t="str">
        <f t="shared" si="405"/>
        <v>NO VÁLIDA</v>
      </c>
      <c r="BH37" s="270"/>
      <c r="BI37" s="163">
        <f t="shared" si="406"/>
        <v>0</v>
      </c>
      <c r="BJ37" s="164" t="str">
        <f t="shared" si="407"/>
        <v>NO VÁLIDA</v>
      </c>
      <c r="BK37" s="270">
        <v>6461</v>
      </c>
      <c r="BL37" s="163">
        <f t="shared" si="408"/>
        <v>8076250</v>
      </c>
      <c r="BM37" s="164" t="str">
        <f t="shared" si="409"/>
        <v>VÁLIDA</v>
      </c>
      <c r="BN37" s="270">
        <v>6461</v>
      </c>
      <c r="BO37" s="163">
        <f t="shared" si="410"/>
        <v>8076250</v>
      </c>
      <c r="BP37" s="164" t="str">
        <f t="shared" si="411"/>
        <v>VÁLIDA</v>
      </c>
      <c r="BQ37" s="270">
        <v>6347</v>
      </c>
      <c r="BR37" s="163">
        <f t="shared" si="412"/>
        <v>7933750</v>
      </c>
      <c r="BS37" s="164" t="str">
        <f t="shared" si="413"/>
        <v>VÁLIDA</v>
      </c>
    </row>
    <row r="38" spans="1:72" ht="40.5" customHeight="1" thickBot="1" x14ac:dyDescent="0.25">
      <c r="A38" s="11"/>
      <c r="B38" s="160">
        <v>20</v>
      </c>
      <c r="C38" s="161" t="s">
        <v>130</v>
      </c>
      <c r="D38" s="298" t="s">
        <v>172</v>
      </c>
      <c r="E38" s="161" t="s">
        <v>133</v>
      </c>
      <c r="F38" s="268">
        <v>50</v>
      </c>
      <c r="G38" s="268">
        <v>251721</v>
      </c>
      <c r="H38" s="162">
        <f t="shared" si="371"/>
        <v>12586050</v>
      </c>
      <c r="I38" s="272">
        <v>247484</v>
      </c>
      <c r="J38" s="240">
        <f t="shared" si="372"/>
        <v>12374200</v>
      </c>
      <c r="K38" s="241" t="str">
        <f t="shared" si="373"/>
        <v>VÁLIDA</v>
      </c>
      <c r="L38" s="272">
        <v>251721</v>
      </c>
      <c r="M38" s="240">
        <f t="shared" si="374"/>
        <v>12586050</v>
      </c>
      <c r="N38" s="241" t="str">
        <f t="shared" si="375"/>
        <v>VÁLIDA</v>
      </c>
      <c r="O38" s="268">
        <v>251721</v>
      </c>
      <c r="P38" s="240">
        <f t="shared" si="376"/>
        <v>12586050</v>
      </c>
      <c r="Q38" s="241" t="str">
        <f t="shared" si="377"/>
        <v>VÁLIDA</v>
      </c>
      <c r="R38" s="272">
        <v>251720</v>
      </c>
      <c r="S38" s="240">
        <f t="shared" si="378"/>
        <v>12586000</v>
      </c>
      <c r="T38" s="241" t="str">
        <f t="shared" si="379"/>
        <v>VÁLIDA</v>
      </c>
      <c r="U38" s="272">
        <v>251000</v>
      </c>
      <c r="V38" s="240">
        <f t="shared" si="380"/>
        <v>12550000</v>
      </c>
      <c r="W38" s="241" t="str">
        <f t="shared" si="381"/>
        <v>VÁLIDA</v>
      </c>
      <c r="X38" s="272">
        <v>250183</v>
      </c>
      <c r="Y38" s="240">
        <f t="shared" si="382"/>
        <v>12509150</v>
      </c>
      <c r="Z38" s="241" t="str">
        <f t="shared" si="383"/>
        <v>VÁLIDA</v>
      </c>
      <c r="AA38" s="272"/>
      <c r="AB38" s="240">
        <f t="shared" si="384"/>
        <v>0</v>
      </c>
      <c r="AC38" s="241" t="str">
        <f t="shared" si="385"/>
        <v>NO VÁLIDA</v>
      </c>
      <c r="AD38" s="272">
        <v>248323</v>
      </c>
      <c r="AE38" s="240">
        <f t="shared" si="386"/>
        <v>12416150</v>
      </c>
      <c r="AF38" s="241" t="str">
        <f t="shared" si="387"/>
        <v>VÁLIDA</v>
      </c>
      <c r="AG38" s="272"/>
      <c r="AH38" s="240">
        <f t="shared" si="388"/>
        <v>0</v>
      </c>
      <c r="AI38" s="241" t="str">
        <f t="shared" si="389"/>
        <v>NO VÁLIDA</v>
      </c>
      <c r="AJ38" s="272"/>
      <c r="AK38" s="240">
        <f t="shared" si="390"/>
        <v>0</v>
      </c>
      <c r="AL38" s="241" t="str">
        <f t="shared" si="391"/>
        <v>NO VÁLIDA</v>
      </c>
      <c r="AM38" s="272"/>
      <c r="AN38" s="240">
        <f t="shared" si="392"/>
        <v>0</v>
      </c>
      <c r="AO38" s="241" t="str">
        <f t="shared" si="393"/>
        <v>NO VÁLIDA</v>
      </c>
      <c r="AP38" s="272">
        <v>251721</v>
      </c>
      <c r="AQ38" s="240">
        <f t="shared" si="394"/>
        <v>12586050</v>
      </c>
      <c r="AR38" s="241" t="str">
        <f t="shared" si="395"/>
        <v>VÁLIDA</v>
      </c>
      <c r="AS38" s="272">
        <v>251700</v>
      </c>
      <c r="AT38" s="240">
        <f t="shared" si="396"/>
        <v>12585000</v>
      </c>
      <c r="AU38" s="241" t="str">
        <f t="shared" si="397"/>
        <v>VÁLIDA</v>
      </c>
      <c r="AV38" s="272">
        <v>245019</v>
      </c>
      <c r="AW38" s="240">
        <f t="shared" si="398"/>
        <v>12250950</v>
      </c>
      <c r="AX38" s="241" t="str">
        <f t="shared" si="399"/>
        <v>VÁLIDA</v>
      </c>
      <c r="AY38" s="272">
        <v>251330</v>
      </c>
      <c r="AZ38" s="240">
        <f t="shared" si="400"/>
        <v>12566500</v>
      </c>
      <c r="BA38" s="241" t="str">
        <f t="shared" si="401"/>
        <v>VÁLIDA</v>
      </c>
      <c r="BB38" s="272">
        <v>250000</v>
      </c>
      <c r="BC38" s="240">
        <f t="shared" si="402"/>
        <v>12500000</v>
      </c>
      <c r="BD38" s="241" t="str">
        <f t="shared" si="403"/>
        <v>VÁLIDA</v>
      </c>
      <c r="BE38" s="272"/>
      <c r="BF38" s="240">
        <f t="shared" si="404"/>
        <v>0</v>
      </c>
      <c r="BG38" s="241" t="str">
        <f t="shared" si="405"/>
        <v>NO VÁLIDA</v>
      </c>
      <c r="BH38" s="272"/>
      <c r="BI38" s="240">
        <f t="shared" si="406"/>
        <v>0</v>
      </c>
      <c r="BJ38" s="241" t="str">
        <f t="shared" si="407"/>
        <v>NO VÁLIDA</v>
      </c>
      <c r="BK38" s="272">
        <v>249138</v>
      </c>
      <c r="BL38" s="240">
        <f t="shared" si="408"/>
        <v>12456900</v>
      </c>
      <c r="BM38" s="241" t="str">
        <f t="shared" si="409"/>
        <v>VÁLIDA</v>
      </c>
      <c r="BN38" s="272">
        <v>249153</v>
      </c>
      <c r="BO38" s="240">
        <f t="shared" si="410"/>
        <v>12457650</v>
      </c>
      <c r="BP38" s="241" t="str">
        <f t="shared" si="411"/>
        <v>VÁLIDA</v>
      </c>
      <c r="BQ38" s="272">
        <v>244723</v>
      </c>
      <c r="BR38" s="240">
        <f t="shared" si="412"/>
        <v>12236150</v>
      </c>
      <c r="BS38" s="241" t="str">
        <f t="shared" si="413"/>
        <v>VÁLIDA</v>
      </c>
    </row>
    <row r="39" spans="1:72" ht="22.5" customHeight="1" x14ac:dyDescent="0.2">
      <c r="A39" s="11"/>
      <c r="B39" s="158" t="s">
        <v>139</v>
      </c>
      <c r="C39" s="159"/>
      <c r="D39" s="159"/>
      <c r="E39" s="159"/>
      <c r="F39" s="269"/>
      <c r="G39" s="269"/>
      <c r="H39" s="186">
        <f>SUM(H40:H42)</f>
        <v>4287496932</v>
      </c>
      <c r="I39" s="271"/>
      <c r="J39" s="188">
        <f>SUM(J40:J42)</f>
        <v>4286327364</v>
      </c>
      <c r="K39" s="189"/>
      <c r="L39" s="271"/>
      <c r="M39" s="188">
        <f t="shared" ref="M39" si="414">SUM(M40:M42)</f>
        <v>4206952118</v>
      </c>
      <c r="N39" s="189"/>
      <c r="O39" s="271"/>
      <c r="P39" s="188">
        <f t="shared" ref="P39" si="415">SUM(P40:P42)</f>
        <v>4287496932</v>
      </c>
      <c r="Q39" s="189"/>
      <c r="R39" s="271"/>
      <c r="S39" s="188">
        <f t="shared" ref="S39" si="416">SUM(S40:S42)</f>
        <v>4242073604</v>
      </c>
      <c r="T39" s="189"/>
      <c r="U39" s="271"/>
      <c r="V39" s="188">
        <f t="shared" ref="V39" si="417">SUM(V40:V42)</f>
        <v>4274832053</v>
      </c>
      <c r="W39" s="189"/>
      <c r="X39" s="271"/>
      <c r="Y39" s="188">
        <f t="shared" ref="Y39" si="418">SUM(Y40:Y42)</f>
        <v>4263131157</v>
      </c>
      <c r="Z39" s="189"/>
      <c r="AA39" s="271"/>
      <c r="AB39" s="188">
        <f t="shared" ref="AB39" si="419">SUM(AB40:AB42)</f>
        <v>0</v>
      </c>
      <c r="AC39" s="189"/>
      <c r="AD39" s="271"/>
      <c r="AE39" s="188">
        <f t="shared" ref="AE39" si="420">SUM(AE40:AE42)</f>
        <v>4229680701</v>
      </c>
      <c r="AF39" s="189"/>
      <c r="AG39" s="271"/>
      <c r="AH39" s="188">
        <f t="shared" ref="AH39" si="421">SUM(AH40:AH42)</f>
        <v>0</v>
      </c>
      <c r="AI39" s="189"/>
      <c r="AJ39" s="271"/>
      <c r="AK39" s="188">
        <f t="shared" ref="AK39" si="422">SUM(AK40:AK42)</f>
        <v>0</v>
      </c>
      <c r="AL39" s="189"/>
      <c r="AM39" s="271"/>
      <c r="AN39" s="188">
        <f t="shared" ref="AN39" si="423">SUM(AN40:AN42)</f>
        <v>0</v>
      </c>
      <c r="AO39" s="189"/>
      <c r="AP39" s="271"/>
      <c r="AQ39" s="188">
        <f t="shared" ref="AQ39" si="424">SUM(AQ40:AQ42)</f>
        <v>4286327364</v>
      </c>
      <c r="AR39" s="189"/>
      <c r="AS39" s="271"/>
      <c r="AT39" s="188">
        <f t="shared" ref="AT39" si="425">SUM(AT40:AT42)</f>
        <v>4275801123</v>
      </c>
      <c r="AU39" s="189"/>
      <c r="AV39" s="271"/>
      <c r="AW39" s="188">
        <f t="shared" ref="AW39" si="426">SUM(AW40:AW42)</f>
        <v>4173034039</v>
      </c>
      <c r="AX39" s="189"/>
      <c r="AY39" s="271"/>
      <c r="AZ39" s="188">
        <f t="shared" ref="AZ39" si="427">SUM(AZ40:AZ42)</f>
        <v>4287496932</v>
      </c>
      <c r="BA39" s="189"/>
      <c r="BB39" s="271"/>
      <c r="BC39" s="188">
        <f t="shared" ref="BC39" si="428">SUM(BC40:BC42)</f>
        <v>4272893913</v>
      </c>
      <c r="BD39" s="189"/>
      <c r="BE39" s="271"/>
      <c r="BF39" s="188">
        <f t="shared" ref="BF39" si="429">SUM(BF40:BF42)</f>
        <v>0</v>
      </c>
      <c r="BG39" s="189"/>
      <c r="BH39" s="271"/>
      <c r="BI39" s="188">
        <f t="shared" ref="BI39" si="430">SUM(BI40:BI42)</f>
        <v>0</v>
      </c>
      <c r="BJ39" s="189"/>
      <c r="BK39" s="271"/>
      <c r="BL39" s="188">
        <f t="shared" ref="BL39" si="431">SUM(BL40:BL42)</f>
        <v>4244768007</v>
      </c>
      <c r="BM39" s="189"/>
      <c r="BN39" s="271"/>
      <c r="BO39" s="188">
        <f t="shared" ref="BO39" si="432">SUM(BO40:BO42)</f>
        <v>4244768007</v>
      </c>
      <c r="BP39" s="189"/>
      <c r="BQ39" s="271"/>
      <c r="BR39" s="188">
        <f t="shared" ref="BR39" si="433">SUM(BR40:BR42)</f>
        <v>4168394797</v>
      </c>
      <c r="BS39" s="189"/>
    </row>
    <row r="40" spans="1:72" ht="60.6" customHeight="1" x14ac:dyDescent="0.2">
      <c r="A40" s="11"/>
      <c r="B40" s="160">
        <v>21</v>
      </c>
      <c r="C40" s="161" t="s">
        <v>107</v>
      </c>
      <c r="D40" s="298" t="s">
        <v>173</v>
      </c>
      <c r="E40" s="161" t="s">
        <v>108</v>
      </c>
      <c r="F40" s="268">
        <v>193814</v>
      </c>
      <c r="G40" s="268">
        <v>815</v>
      </c>
      <c r="H40" s="162">
        <f t="shared" ref="H40:H42" si="434">ROUND(G40*F40,0)</f>
        <v>157958410</v>
      </c>
      <c r="I40" s="270">
        <v>815</v>
      </c>
      <c r="J40" s="163">
        <f t="shared" ref="J40:J42" si="435">ROUND($F40*I40,0)</f>
        <v>157958410</v>
      </c>
      <c r="K40" s="164" t="str">
        <f t="shared" ref="K40:K42" si="436">+IF(I40&gt;0,IF(OR(I40&gt;$G40,ROUND(I40,0)&gt;$G40),"NO VÁLIDA","VÁLIDA"),"NO VÁLIDA")</f>
        <v>VÁLIDA</v>
      </c>
      <c r="L40" s="270">
        <v>811</v>
      </c>
      <c r="M40" s="163">
        <f t="shared" ref="M40:M42" si="437">ROUND($F40*L40,0)</f>
        <v>157183154</v>
      </c>
      <c r="N40" s="164" t="str">
        <f t="shared" ref="N40" si="438">+IF(L40&gt;0,IF(OR(L40&gt;$G40,ROUND(L40,0)&gt;$G40),"NO VÁLIDA","VÁLIDA"),"NO VÁLIDA")</f>
        <v>VÁLIDA</v>
      </c>
      <c r="O40" s="268">
        <v>815</v>
      </c>
      <c r="P40" s="163">
        <f t="shared" ref="P40:P42" si="439">ROUND($F40*O40,0)</f>
        <v>157958410</v>
      </c>
      <c r="Q40" s="164" t="str">
        <f t="shared" ref="Q40" si="440">+IF(O40&gt;0,IF(OR(O40&gt;$G40,ROUND(O40,0)&gt;$G40),"NO VÁLIDA","VÁLIDA"),"NO VÁLIDA")</f>
        <v>VÁLIDA</v>
      </c>
      <c r="R40" s="270">
        <v>810</v>
      </c>
      <c r="S40" s="163">
        <f t="shared" ref="S40:S42" si="441">ROUND($F40*R40,0)</f>
        <v>156989340</v>
      </c>
      <c r="T40" s="164" t="str">
        <f t="shared" ref="T40" si="442">+IF(R40&gt;0,IF(OR(R40&gt;$G40,ROUND(R40,0)&gt;$G40),"NO VÁLIDA","VÁLIDA"),"NO VÁLIDA")</f>
        <v>VÁLIDA</v>
      </c>
      <c r="U40" s="270">
        <v>810</v>
      </c>
      <c r="V40" s="163">
        <f t="shared" ref="V40:V42" si="443">ROUND($F40*U40,0)</f>
        <v>156989340</v>
      </c>
      <c r="W40" s="164" t="str">
        <f t="shared" ref="W40" si="444">+IF(U40&gt;0,IF(OR(U40&gt;$G40,ROUND(U40,0)&gt;$G40),"NO VÁLIDA","VÁLIDA"),"NO VÁLIDA")</f>
        <v>VÁLIDA</v>
      </c>
      <c r="X40" s="270">
        <v>810</v>
      </c>
      <c r="Y40" s="163">
        <f t="shared" ref="Y40:Y42" si="445">ROUND($F40*X40,0)</f>
        <v>156989340</v>
      </c>
      <c r="Z40" s="164" t="str">
        <f t="shared" ref="Z40" si="446">+IF(X40&gt;0,IF(OR(X40&gt;$G40,ROUND(X40,0)&gt;$G40),"NO VÁLIDA","VÁLIDA"),"NO VÁLIDA")</f>
        <v>VÁLIDA</v>
      </c>
      <c r="AA40" s="270"/>
      <c r="AB40" s="163">
        <f t="shared" ref="AB40:AB42" si="447">ROUND($F40*AA40,0)</f>
        <v>0</v>
      </c>
      <c r="AC40" s="164" t="str">
        <f t="shared" ref="AC40" si="448">+IF(AA40&gt;0,IF(OR(AA40&gt;$G40,ROUND(AA40,0)&gt;$G40),"NO VÁLIDA","VÁLIDA"),"NO VÁLIDA")</f>
        <v>NO VÁLIDA</v>
      </c>
      <c r="AD40" s="270">
        <v>804</v>
      </c>
      <c r="AE40" s="163">
        <f t="shared" ref="AE40:AE42" si="449">ROUND($F40*AD40,0)</f>
        <v>155826456</v>
      </c>
      <c r="AF40" s="164" t="str">
        <f t="shared" ref="AF40" si="450">+IF(AD40&gt;0,IF(OR(AD40&gt;$G40,ROUND(AD40,0)&gt;$G40),"NO VÁLIDA","VÁLIDA"),"NO VÁLIDA")</f>
        <v>VÁLIDA</v>
      </c>
      <c r="AG40" s="270"/>
      <c r="AH40" s="163">
        <f t="shared" ref="AH40:AH42" si="451">ROUND($F40*AG40,0)</f>
        <v>0</v>
      </c>
      <c r="AI40" s="164" t="str">
        <f t="shared" ref="AI40" si="452">+IF(AG40&gt;0,IF(OR(AG40&gt;$G40,ROUND(AG40,0)&gt;$G40),"NO VÁLIDA","VÁLIDA"),"NO VÁLIDA")</f>
        <v>NO VÁLIDA</v>
      </c>
      <c r="AJ40" s="270"/>
      <c r="AK40" s="163">
        <f t="shared" ref="AK40:AK42" si="453">ROUND($F40*AJ40,0)</f>
        <v>0</v>
      </c>
      <c r="AL40" s="164" t="str">
        <f t="shared" ref="AL40" si="454">+IF(AJ40&gt;0,IF(OR(AJ40&gt;$G40,ROUND(AJ40,0)&gt;$G40),"NO VÁLIDA","VÁLIDA"),"NO VÁLIDA")</f>
        <v>NO VÁLIDA</v>
      </c>
      <c r="AM40" s="270"/>
      <c r="AN40" s="163">
        <f t="shared" ref="AN40:AN42" si="455">ROUND($F40*AM40,0)</f>
        <v>0</v>
      </c>
      <c r="AO40" s="164" t="str">
        <f t="shared" ref="AO40" si="456">+IF(AM40&gt;0,IF(OR(AM40&gt;$G40,ROUND(AM40,0)&gt;$G40),"NO VÁLIDA","VÁLIDA"),"NO VÁLIDA")</f>
        <v>NO VÁLIDA</v>
      </c>
      <c r="AP40" s="270">
        <v>815</v>
      </c>
      <c r="AQ40" s="163">
        <f t="shared" ref="AQ40:AQ42" si="457">ROUND($F40*AP40,0)</f>
        <v>157958410</v>
      </c>
      <c r="AR40" s="164" t="str">
        <f t="shared" ref="AR40" si="458">+IF(AP40&gt;0,IF(OR(AP40&gt;$G40,ROUND(AP40,0)&gt;$G40),"NO VÁLIDA","VÁLIDA"),"NO VÁLIDA")</f>
        <v>VÁLIDA</v>
      </c>
      <c r="AS40" s="268">
        <v>815</v>
      </c>
      <c r="AT40" s="163">
        <f t="shared" ref="AT40:AT42" si="459">ROUND($F40*AS40,0)</f>
        <v>157958410</v>
      </c>
      <c r="AU40" s="164" t="str">
        <f t="shared" ref="AU40" si="460">+IF(AS40&gt;0,IF(OR(AS40&gt;$G40,ROUND(AS40,0)&gt;$G40),"NO VÁLIDA","VÁLIDA"),"NO VÁLIDA")</f>
        <v>VÁLIDA</v>
      </c>
      <c r="AV40" s="270">
        <v>793</v>
      </c>
      <c r="AW40" s="163">
        <f t="shared" ref="AW40:AW42" si="461">ROUND($F40*AV40,0)</f>
        <v>153694502</v>
      </c>
      <c r="AX40" s="164" t="str">
        <f t="shared" ref="AX40" si="462">+IF(AV40&gt;0,IF(OR(AV40&gt;$G40,ROUND(AV40,0)&gt;$G40),"NO VÁLIDA","VÁLIDA"),"NO VÁLIDA")</f>
        <v>VÁLIDA</v>
      </c>
      <c r="AY40" s="268">
        <v>815</v>
      </c>
      <c r="AZ40" s="163">
        <f t="shared" ref="AZ40:AZ42" si="463">ROUND($F40*AY40,0)</f>
        <v>157958410</v>
      </c>
      <c r="BA40" s="164" t="str">
        <f t="shared" ref="BA40" si="464">+IF(AY40&gt;0,IF(OR(AY40&gt;$G40,ROUND(AY40,0)&gt;$G40),"NO VÁLIDA","VÁLIDA"),"NO VÁLIDA")</f>
        <v>VÁLIDA</v>
      </c>
      <c r="BB40" s="270">
        <v>800</v>
      </c>
      <c r="BC40" s="163">
        <f t="shared" ref="BC40:BC42" si="465">ROUND($F40*BB40,0)</f>
        <v>155051200</v>
      </c>
      <c r="BD40" s="164" t="str">
        <f t="shared" ref="BD40" si="466">+IF(BB40&gt;0,IF(OR(BB40&gt;$G40,ROUND(BB40,0)&gt;$G40),"NO VÁLIDA","VÁLIDA"),"NO VÁLIDA")</f>
        <v>VÁLIDA</v>
      </c>
      <c r="BE40" s="270"/>
      <c r="BF40" s="163">
        <f t="shared" ref="BF40:BF42" si="467">ROUND($F40*BE40,0)</f>
        <v>0</v>
      </c>
      <c r="BG40" s="164" t="str">
        <f t="shared" ref="BG40" si="468">+IF(BE40&gt;0,IF(OR(BE40&gt;$G40,ROUND(BE40,0)&gt;$G40),"NO VÁLIDA","VÁLIDA"),"NO VÁLIDA")</f>
        <v>NO VÁLIDA</v>
      </c>
      <c r="BH40" s="270"/>
      <c r="BI40" s="163">
        <f t="shared" ref="BI40:BI42" si="469">ROUND($F40*BH40,0)</f>
        <v>0</v>
      </c>
      <c r="BJ40" s="164" t="str">
        <f t="shared" ref="BJ40" si="470">+IF(BH40&gt;0,IF(OR(BH40&gt;$G40,ROUND(BH40,0)&gt;$G40),"NO VÁLIDA","VÁLIDA"),"NO VÁLIDA")</f>
        <v>NO VÁLIDA</v>
      </c>
      <c r="BK40" s="270">
        <v>807</v>
      </c>
      <c r="BL40" s="163">
        <f t="shared" ref="BL40:BL42" si="471">ROUND($F40*BK40,0)</f>
        <v>156407898</v>
      </c>
      <c r="BM40" s="164" t="str">
        <f t="shared" ref="BM40" si="472">+IF(BK40&gt;0,IF(OR(BK40&gt;$G40,ROUND(BK40,0)&gt;$G40),"NO VÁLIDA","VÁLIDA"),"NO VÁLIDA")</f>
        <v>VÁLIDA</v>
      </c>
      <c r="BN40" s="270">
        <v>807</v>
      </c>
      <c r="BO40" s="163">
        <f t="shared" ref="BO40:BO42" si="473">ROUND($F40*BN40,0)</f>
        <v>156407898</v>
      </c>
      <c r="BP40" s="164" t="str">
        <f t="shared" ref="BP40" si="474">+IF(BN40&gt;0,IF(OR(BN40&gt;$G40,ROUND(BN40,0)&gt;$G40),"NO VÁLIDA","VÁLIDA"),"NO VÁLIDA")</f>
        <v>VÁLIDA</v>
      </c>
      <c r="BQ40" s="270">
        <v>792</v>
      </c>
      <c r="BR40" s="163">
        <f t="shared" ref="BR40:BR42" si="475">ROUND($F40*BQ40,0)</f>
        <v>153500688</v>
      </c>
      <c r="BS40" s="164" t="str">
        <f t="shared" ref="BS40" si="476">+IF(BQ40&gt;0,IF(OR(BQ40&gt;$G40,ROUND(BQ40,0)&gt;$G40),"NO VÁLIDA","VÁLIDA"),"NO VÁLIDA")</f>
        <v>VÁLIDA</v>
      </c>
    </row>
    <row r="41" spans="1:72" ht="60.6" customHeight="1" x14ac:dyDescent="0.2">
      <c r="A41" s="11"/>
      <c r="B41" s="160">
        <v>22</v>
      </c>
      <c r="C41" s="161" t="s">
        <v>94</v>
      </c>
      <c r="D41" s="298" t="s">
        <v>174</v>
      </c>
      <c r="E41" s="161" t="s">
        <v>175</v>
      </c>
      <c r="F41" s="268">
        <v>1169582.3251357723</v>
      </c>
      <c r="G41" s="268">
        <v>1009.9999878588619</v>
      </c>
      <c r="H41" s="162">
        <f t="shared" si="434"/>
        <v>1181278134</v>
      </c>
      <c r="I41" s="268">
        <v>1009</v>
      </c>
      <c r="J41" s="163">
        <f t="shared" si="435"/>
        <v>1180108566</v>
      </c>
      <c r="K41" s="164" t="str">
        <f>+IF(I41&gt;0,IF(OR(I41&gt;$G41),"NO VÁLIDA","VÁLIDA"),"NO VÁLIDA")</f>
        <v>VÁLIDA</v>
      </c>
      <c r="L41" s="270">
        <v>953</v>
      </c>
      <c r="M41" s="309">
        <f t="shared" si="437"/>
        <v>1114611956</v>
      </c>
      <c r="N41" s="164" t="str">
        <f t="shared" ref="N41" si="477">+IF(L41&gt;0,IF(OR(L41&gt;$G41),"NO VÁLIDA","VÁLIDA"),"NO VÁLIDA")</f>
        <v>VÁLIDA</v>
      </c>
      <c r="O41" s="268">
        <v>1009.9999878588619</v>
      </c>
      <c r="P41" s="163">
        <f t="shared" si="439"/>
        <v>1181278134</v>
      </c>
      <c r="Q41" s="164" t="str">
        <f t="shared" ref="Q41" si="478">+IF(O41&gt;0,IF(OR(O41&gt;$G41),"NO VÁLIDA","VÁLIDA"),"NO VÁLIDA")</f>
        <v>VÁLIDA</v>
      </c>
      <c r="R41" s="270">
        <v>1000</v>
      </c>
      <c r="S41" s="163">
        <f t="shared" si="441"/>
        <v>1169582325</v>
      </c>
      <c r="T41" s="164" t="str">
        <f t="shared" ref="T41" si="479">+IF(R41&gt;0,IF(OR(R41&gt;$G41),"NO VÁLIDA","VÁLIDA"),"NO VÁLIDA")</f>
        <v>VÁLIDA</v>
      </c>
      <c r="U41" s="270">
        <v>1000</v>
      </c>
      <c r="V41" s="163">
        <f t="shared" si="443"/>
        <v>1169582325</v>
      </c>
      <c r="W41" s="164" t="str">
        <f t="shared" ref="W41" si="480">+IF(U41&gt;0,IF(OR(U41&gt;$G41),"NO VÁLIDA","VÁLIDA"),"NO VÁLIDA")</f>
        <v>VÁLIDA</v>
      </c>
      <c r="X41" s="270">
        <v>1004</v>
      </c>
      <c r="Y41" s="163">
        <f t="shared" si="445"/>
        <v>1174260654</v>
      </c>
      <c r="Z41" s="164" t="str">
        <f t="shared" ref="Z41" si="481">+IF(X41&gt;0,IF(OR(X41&gt;$G41),"NO VÁLIDA","VÁLIDA"),"NO VÁLIDA")</f>
        <v>VÁLIDA</v>
      </c>
      <c r="AA41" s="270"/>
      <c r="AB41" s="163">
        <f t="shared" si="447"/>
        <v>0</v>
      </c>
      <c r="AC41" s="164" t="str">
        <f t="shared" ref="AC41" si="482">+IF(AA41&gt;0,IF(OR(AA41&gt;$G41),"NO VÁLIDA","VÁLIDA"),"NO VÁLIDA")</f>
        <v>NO VÁLIDA</v>
      </c>
      <c r="AD41" s="270">
        <v>996</v>
      </c>
      <c r="AE41" s="309">
        <f t="shared" si="449"/>
        <v>1164903996</v>
      </c>
      <c r="AF41" s="164" t="str">
        <f t="shared" ref="AF41" si="483">+IF(AD41&gt;0,IF(OR(AD41&gt;$G41),"NO VÁLIDA","VÁLIDA"),"NO VÁLIDA")</f>
        <v>VÁLIDA</v>
      </c>
      <c r="AG41" s="270"/>
      <c r="AH41" s="163">
        <f t="shared" si="451"/>
        <v>0</v>
      </c>
      <c r="AI41" s="164" t="str">
        <f t="shared" ref="AI41" si="484">+IF(AG41&gt;0,IF(OR(AG41&gt;$G41),"NO VÁLIDA","VÁLIDA"),"NO VÁLIDA")</f>
        <v>NO VÁLIDA</v>
      </c>
      <c r="AJ41" s="270"/>
      <c r="AK41" s="163">
        <f t="shared" si="453"/>
        <v>0</v>
      </c>
      <c r="AL41" s="164" t="str">
        <f t="shared" ref="AL41" si="485">+IF(AJ41&gt;0,IF(OR(AJ41&gt;$G41),"NO VÁLIDA","VÁLIDA"),"NO VÁLIDA")</f>
        <v>NO VÁLIDA</v>
      </c>
      <c r="AM41" s="270"/>
      <c r="AN41" s="163">
        <f t="shared" si="455"/>
        <v>0</v>
      </c>
      <c r="AO41" s="164" t="str">
        <f t="shared" ref="AO41" si="486">+IF(AM41&gt;0,IF(OR(AM41&gt;$G41),"NO VÁLIDA","VÁLIDA"),"NO VÁLIDA")</f>
        <v>NO VÁLIDA</v>
      </c>
      <c r="AP41" s="270">
        <v>1009</v>
      </c>
      <c r="AQ41" s="163">
        <f t="shared" si="457"/>
        <v>1180108566</v>
      </c>
      <c r="AR41" s="164" t="str">
        <f t="shared" ref="AR41" si="487">+IF(AP41&gt;0,IF(OR(AP41&gt;$G41),"NO VÁLIDA","VÁLIDA"),"NO VÁLIDA")</f>
        <v>VÁLIDA</v>
      </c>
      <c r="AS41" s="268">
        <v>1000</v>
      </c>
      <c r="AT41" s="309">
        <f t="shared" si="459"/>
        <v>1169582325</v>
      </c>
      <c r="AU41" s="164" t="str">
        <f t="shared" ref="AU41" si="488">+IF(AS41&gt;0,IF(OR(AS41&gt;$G41),"NO VÁLIDA","VÁLIDA"),"NO VÁLIDA")</f>
        <v>VÁLIDA</v>
      </c>
      <c r="AV41" s="270">
        <v>983</v>
      </c>
      <c r="AW41" s="163">
        <f t="shared" si="461"/>
        <v>1149699426</v>
      </c>
      <c r="AX41" s="164" t="str">
        <f t="shared" ref="AX41" si="489">+IF(AV41&gt;0,IF(OR(AV41&gt;$G41),"NO VÁLIDA","VÁLIDA"),"NO VÁLIDA")</f>
        <v>VÁLIDA</v>
      </c>
      <c r="AY41" s="268">
        <v>1009.9999878588619</v>
      </c>
      <c r="AZ41" s="163">
        <f t="shared" si="463"/>
        <v>1181278134</v>
      </c>
      <c r="BA41" s="164" t="str">
        <f t="shared" ref="BA41" si="490">+IF(AY41&gt;0,IF(OR(AY41&gt;$G41),"NO VÁLIDA","VÁLIDA"),"NO VÁLIDA")</f>
        <v>VÁLIDA</v>
      </c>
      <c r="BB41" s="270">
        <v>1000</v>
      </c>
      <c r="BC41" s="163">
        <f t="shared" si="465"/>
        <v>1169582325</v>
      </c>
      <c r="BD41" s="164" t="str">
        <f t="shared" ref="BD41" si="491">+IF(BB41&gt;0,IF(OR(BB41&gt;$G41),"NO VÁLIDA","VÁLIDA"),"NO VÁLIDA")</f>
        <v>VÁLIDA</v>
      </c>
      <c r="BE41" s="270"/>
      <c r="BF41" s="163">
        <f t="shared" si="467"/>
        <v>0</v>
      </c>
      <c r="BG41" s="164" t="str">
        <f t="shared" ref="BG41" si="492">+IF(BE41&gt;0,IF(OR(BE41&gt;$G41),"NO VÁLIDA","VÁLIDA"),"NO VÁLIDA")</f>
        <v>NO VÁLIDA</v>
      </c>
      <c r="BH41" s="270"/>
      <c r="BI41" s="163">
        <f t="shared" si="469"/>
        <v>0</v>
      </c>
      <c r="BJ41" s="164" t="str">
        <f t="shared" ref="BJ41" si="493">+IF(BH41&gt;0,IF(OR(BH41&gt;$G41),"NO VÁLIDA","VÁLIDA"),"NO VÁLIDA")</f>
        <v>NO VÁLIDA</v>
      </c>
      <c r="BK41" s="270">
        <v>1000</v>
      </c>
      <c r="BL41" s="163">
        <f t="shared" si="471"/>
        <v>1169582325</v>
      </c>
      <c r="BM41" s="164" t="str">
        <f t="shared" ref="BM41" si="494">+IF(BK41&gt;0,IF(OR(BK41&gt;$G41),"NO VÁLIDA","VÁLIDA"),"NO VÁLIDA")</f>
        <v>VÁLIDA</v>
      </c>
      <c r="BN41" s="270">
        <v>1000</v>
      </c>
      <c r="BO41" s="163">
        <f t="shared" si="473"/>
        <v>1169582325</v>
      </c>
      <c r="BP41" s="164" t="str">
        <f t="shared" ref="BP41" si="495">+IF(BN41&gt;0,IF(OR(BN41&gt;$G41),"NO VÁLIDA","VÁLIDA"),"NO VÁLIDA")</f>
        <v>VÁLIDA</v>
      </c>
      <c r="BQ41" s="270">
        <v>982</v>
      </c>
      <c r="BR41" s="163">
        <f t="shared" si="475"/>
        <v>1148529843</v>
      </c>
      <c r="BS41" s="164" t="str">
        <f t="shared" ref="BS41" si="496">+IF(BQ41&gt;0,IF(OR(BQ41&gt;$G41),"NO VÁLIDA","VÁLIDA"),"NO VÁLIDA")</f>
        <v>VÁLIDA</v>
      </c>
    </row>
    <row r="42" spans="1:72" ht="50.45" customHeight="1" thickBot="1" x14ac:dyDescent="0.25">
      <c r="A42" s="11"/>
      <c r="B42" s="299">
        <v>23</v>
      </c>
      <c r="C42" s="300" t="s">
        <v>152</v>
      </c>
      <c r="D42" s="301" t="s">
        <v>176</v>
      </c>
      <c r="E42" s="300" t="s">
        <v>175</v>
      </c>
      <c r="F42" s="302">
        <v>3275844.875</v>
      </c>
      <c r="G42" s="302">
        <v>900.00000019316622</v>
      </c>
      <c r="H42" s="303">
        <f t="shared" si="434"/>
        <v>2948260388</v>
      </c>
      <c r="I42" s="272">
        <v>900</v>
      </c>
      <c r="J42" s="240">
        <f t="shared" si="435"/>
        <v>2948260388</v>
      </c>
      <c r="K42" s="241" t="str">
        <f t="shared" si="436"/>
        <v>VÁLIDA</v>
      </c>
      <c r="L42" s="272">
        <v>896</v>
      </c>
      <c r="M42" s="310">
        <f t="shared" si="437"/>
        <v>2935157008</v>
      </c>
      <c r="N42" s="241" t="str">
        <f t="shared" ref="N42" si="497">+IF(L42&gt;0,IF(OR(L42&gt;$G42,ROUND(L42,0)&gt;$G42),"NO VÁLIDA","VÁLIDA"),"NO VÁLIDA")</f>
        <v>VÁLIDA</v>
      </c>
      <c r="O42" s="272">
        <v>900.00000019316622</v>
      </c>
      <c r="P42" s="240">
        <f t="shared" si="439"/>
        <v>2948260388</v>
      </c>
      <c r="Q42" s="241" t="str">
        <f t="shared" ref="Q42" si="498">+IF(O42&gt;0,IF(OR(O42&gt;$G42,ROUND(O42,0)&gt;$G42),"NO VÁLIDA","VÁLIDA"),"NO VÁLIDA")</f>
        <v>VÁLIDA</v>
      </c>
      <c r="R42" s="272">
        <v>890</v>
      </c>
      <c r="S42" s="240">
        <f t="shared" si="441"/>
        <v>2915501939</v>
      </c>
      <c r="T42" s="241" t="str">
        <f t="shared" ref="T42" si="499">+IF(R42&gt;0,IF(OR(R42&gt;$G42,ROUND(R42,0)&gt;$G42),"NO VÁLIDA","VÁLIDA"),"NO VÁLIDA")</f>
        <v>VÁLIDA</v>
      </c>
      <c r="U42" s="272">
        <v>900</v>
      </c>
      <c r="V42" s="240">
        <f t="shared" si="443"/>
        <v>2948260388</v>
      </c>
      <c r="W42" s="241" t="str">
        <f t="shared" ref="W42" si="500">+IF(U42&gt;0,IF(OR(U42&gt;$G42,ROUND(U42,0)&gt;$G42),"NO VÁLIDA","VÁLIDA"),"NO VÁLIDA")</f>
        <v>VÁLIDA</v>
      </c>
      <c r="X42" s="272">
        <v>895</v>
      </c>
      <c r="Y42" s="240">
        <f t="shared" si="445"/>
        <v>2931881163</v>
      </c>
      <c r="Z42" s="241" t="str">
        <f t="shared" ref="Z42" si="501">+IF(X42&gt;0,IF(OR(X42&gt;$G42,ROUND(X42,0)&gt;$G42),"NO VÁLIDA","VÁLIDA"),"NO VÁLIDA")</f>
        <v>VÁLIDA</v>
      </c>
      <c r="AA42" s="272"/>
      <c r="AB42" s="240">
        <f t="shared" si="447"/>
        <v>0</v>
      </c>
      <c r="AC42" s="241" t="str">
        <f t="shared" ref="AC42" si="502">+IF(AA42&gt;0,IF(OR(AA42&gt;$G42,ROUND(AA42,0)&gt;$G42),"NO VÁLIDA","VÁLIDA"),"NO VÁLIDA")</f>
        <v>NO VÁLIDA</v>
      </c>
      <c r="AD42" s="272">
        <v>888</v>
      </c>
      <c r="AE42" s="310">
        <f t="shared" si="449"/>
        <v>2908950249</v>
      </c>
      <c r="AF42" s="241" t="str">
        <f t="shared" ref="AF42" si="503">+IF(AD42&gt;0,IF(OR(AD42&gt;$G42,ROUND(AD42,0)&gt;$G42),"NO VÁLIDA","VÁLIDA"),"NO VÁLIDA")</f>
        <v>VÁLIDA</v>
      </c>
      <c r="AG42" s="272"/>
      <c r="AH42" s="240">
        <f t="shared" si="451"/>
        <v>0</v>
      </c>
      <c r="AI42" s="241" t="str">
        <f t="shared" ref="AI42" si="504">+IF(AG42&gt;0,IF(OR(AG42&gt;$G42,ROUND(AG42,0)&gt;$G42),"NO VÁLIDA","VÁLIDA"),"NO VÁLIDA")</f>
        <v>NO VÁLIDA</v>
      </c>
      <c r="AJ42" s="272"/>
      <c r="AK42" s="240">
        <f t="shared" si="453"/>
        <v>0</v>
      </c>
      <c r="AL42" s="241" t="str">
        <f t="shared" ref="AL42" si="505">+IF(AJ42&gt;0,IF(OR(AJ42&gt;$G42,ROUND(AJ42,0)&gt;$G42),"NO VÁLIDA","VÁLIDA"),"NO VÁLIDA")</f>
        <v>NO VÁLIDA</v>
      </c>
      <c r="AM42" s="272"/>
      <c r="AN42" s="240">
        <f t="shared" si="455"/>
        <v>0</v>
      </c>
      <c r="AO42" s="241" t="str">
        <f t="shared" ref="AO42" si="506">+IF(AM42&gt;0,IF(OR(AM42&gt;$G42,ROUND(AM42,0)&gt;$G42),"NO VÁLIDA","VÁLIDA"),"NO VÁLIDA")</f>
        <v>NO VÁLIDA</v>
      </c>
      <c r="AP42" s="272">
        <v>900</v>
      </c>
      <c r="AQ42" s="240">
        <f t="shared" si="457"/>
        <v>2948260388</v>
      </c>
      <c r="AR42" s="241" t="str">
        <f t="shared" ref="AR42" si="507">+IF(AP42&gt;0,IF(OR(AP42&gt;$G42,ROUND(AP42,0)&gt;$G42),"NO VÁLIDA","VÁLIDA"),"NO VÁLIDA")</f>
        <v>VÁLIDA</v>
      </c>
      <c r="AS42" s="272">
        <v>900</v>
      </c>
      <c r="AT42" s="310">
        <f t="shared" si="459"/>
        <v>2948260388</v>
      </c>
      <c r="AU42" s="241" t="str">
        <f t="shared" ref="AU42" si="508">+IF(AS42&gt;0,IF(OR(AS42&gt;$G42,ROUND(AS42,0)&gt;$G42),"NO VÁLIDA","VÁLIDA"),"NO VÁLIDA")</f>
        <v>VÁLIDA</v>
      </c>
      <c r="AV42" s="272">
        <v>876</v>
      </c>
      <c r="AW42" s="240">
        <f t="shared" si="461"/>
        <v>2869640111</v>
      </c>
      <c r="AX42" s="241" t="str">
        <f t="shared" ref="AX42" si="509">+IF(AV42&gt;0,IF(OR(AV42&gt;$G42,ROUND(AV42,0)&gt;$G42),"NO VÁLIDA","VÁLIDA"),"NO VÁLIDA")</f>
        <v>VÁLIDA</v>
      </c>
      <c r="AY42" s="272">
        <v>900.00000019316622</v>
      </c>
      <c r="AZ42" s="240">
        <f t="shared" si="463"/>
        <v>2948260388</v>
      </c>
      <c r="BA42" s="241" t="str">
        <f t="shared" ref="BA42" si="510">+IF(AY42&gt;0,IF(OR(AY42&gt;$G42,ROUND(AY42,0)&gt;$G42),"NO VÁLIDA","VÁLIDA"),"NO VÁLIDA")</f>
        <v>VÁLIDA</v>
      </c>
      <c r="BB42" s="272">
        <v>900</v>
      </c>
      <c r="BC42" s="240">
        <f t="shared" si="465"/>
        <v>2948260388</v>
      </c>
      <c r="BD42" s="241" t="str">
        <f t="shared" ref="BD42" si="511">+IF(BB42&gt;0,IF(OR(BB42&gt;$G42,ROUND(BB42,0)&gt;$G42),"NO VÁLIDA","VÁLIDA"),"NO VÁLIDA")</f>
        <v>VÁLIDA</v>
      </c>
      <c r="BE42" s="272"/>
      <c r="BF42" s="240">
        <f t="shared" si="467"/>
        <v>0</v>
      </c>
      <c r="BG42" s="241" t="str">
        <f t="shared" ref="BG42" si="512">+IF(BE42&gt;0,IF(OR(BE42&gt;$G42,ROUND(BE42,0)&gt;$G42),"NO VÁLIDA","VÁLIDA"),"NO VÁLIDA")</f>
        <v>NO VÁLIDA</v>
      </c>
      <c r="BH42" s="272"/>
      <c r="BI42" s="240">
        <f t="shared" si="469"/>
        <v>0</v>
      </c>
      <c r="BJ42" s="241" t="str">
        <f t="shared" ref="BJ42" si="513">+IF(BH42&gt;0,IF(OR(BH42&gt;$G42,ROUND(BH42,0)&gt;$G42),"NO VÁLIDA","VÁLIDA"),"NO VÁLIDA")</f>
        <v>NO VÁLIDA</v>
      </c>
      <c r="BK42" s="272">
        <v>891</v>
      </c>
      <c r="BL42" s="240">
        <f t="shared" si="471"/>
        <v>2918777784</v>
      </c>
      <c r="BM42" s="241" t="str">
        <f t="shared" ref="BM42" si="514">+IF(BK42&gt;0,IF(OR(BK42&gt;$G42,ROUND(BK42,0)&gt;$G42),"NO VÁLIDA","VÁLIDA"),"NO VÁLIDA")</f>
        <v>VÁLIDA</v>
      </c>
      <c r="BN42" s="272">
        <v>891</v>
      </c>
      <c r="BO42" s="240">
        <f t="shared" si="473"/>
        <v>2918777784</v>
      </c>
      <c r="BP42" s="241" t="str">
        <f t="shared" ref="BP42" si="515">+IF(BN42&gt;0,IF(OR(BN42&gt;$G42,ROUND(BN42,0)&gt;$G42),"NO VÁLIDA","VÁLIDA"),"NO VÁLIDA")</f>
        <v>VÁLIDA</v>
      </c>
      <c r="BQ42" s="272">
        <v>875</v>
      </c>
      <c r="BR42" s="240">
        <f t="shared" si="475"/>
        <v>2866364266</v>
      </c>
      <c r="BS42" s="241" t="str">
        <f t="shared" ref="BS42" si="516">+IF(BQ42&gt;0,IF(OR(BQ42&gt;$G42,ROUND(BQ42,0)&gt;$G42),"NO VÁLIDA","VÁLIDA"),"NO VÁLIDA")</f>
        <v>VÁLIDA</v>
      </c>
    </row>
    <row r="43" spans="1:72" s="40" customFormat="1" ht="32.25" customHeight="1" x14ac:dyDescent="0.2">
      <c r="A43" s="39"/>
      <c r="B43" s="304"/>
      <c r="C43" s="305"/>
      <c r="D43" s="306"/>
      <c r="E43" s="305"/>
      <c r="F43" s="307"/>
      <c r="G43" s="307" t="s">
        <v>140</v>
      </c>
      <c r="H43" s="308">
        <f>ROUND(SUM(H14,H21,H24,H30,H35,H39),0)</f>
        <v>14784897507</v>
      </c>
      <c r="I43" s="165"/>
      <c r="J43" s="264">
        <f>ROUND(SUM(J14,J21,J24,J30,J35,J39),0)</f>
        <v>14780642668</v>
      </c>
      <c r="K43" s="168"/>
      <c r="L43" s="165"/>
      <c r="M43" s="264">
        <f t="shared" ref="M43" si="517">ROUND(SUM(M14,M21,M24,M30,M35,M39),0)</f>
        <v>14617406293</v>
      </c>
      <c r="N43" s="168"/>
      <c r="O43" s="165"/>
      <c r="P43" s="264">
        <f t="shared" ref="P43" si="518">ROUND(SUM(P14,P21,P24,P30,P35,P39),0)</f>
        <v>14765180116</v>
      </c>
      <c r="Q43" s="168"/>
      <c r="R43" s="165"/>
      <c r="S43" s="264">
        <f t="shared" ref="S43" si="519">ROUND(SUM(S14,S21,S24,S30,S35,S39),0)</f>
        <v>14462827087</v>
      </c>
      <c r="T43" s="168"/>
      <c r="U43" s="165"/>
      <c r="V43" s="264">
        <f t="shared" ref="V43" si="520">ROUND(SUM(V14,V21,V24,V30,V35,V39),0)</f>
        <v>14667921982</v>
      </c>
      <c r="W43" s="168"/>
      <c r="X43" s="165"/>
      <c r="Y43" s="264">
        <f t="shared" ref="Y43" si="521">ROUND(SUM(Y14,Y21,Y24,Y30,Y35,Y39),0)</f>
        <v>14696457796</v>
      </c>
      <c r="Z43" s="168"/>
      <c r="AA43" s="165"/>
      <c r="AB43" s="264">
        <f t="shared" ref="AB43" si="522">ROUND(SUM(AB14,AB21,AB24,AB30,AB35,AB39),0)</f>
        <v>0</v>
      </c>
      <c r="AC43" s="168"/>
      <c r="AD43" s="165"/>
      <c r="AE43" s="264">
        <f t="shared" ref="AE43" si="523">ROUND(SUM(AE14,AE21,AE24,AE30,AE35,AE39),0)</f>
        <v>14585274434</v>
      </c>
      <c r="AF43" s="168"/>
      <c r="AG43" s="165"/>
      <c r="AH43" s="264">
        <f t="shared" ref="AH43" si="524">ROUND(SUM(AH14,AH21,AH24,AH30,AH35,AH39),0)</f>
        <v>0</v>
      </c>
      <c r="AI43" s="168"/>
      <c r="AJ43" s="165"/>
      <c r="AK43" s="264">
        <f t="shared" ref="AK43" si="525">ROUND(SUM(AK14,AK21,AK24,AK30,AK35,AK39),0)</f>
        <v>0</v>
      </c>
      <c r="AL43" s="168"/>
      <c r="AM43" s="165"/>
      <c r="AN43" s="264">
        <f t="shared" ref="AN43" si="526">ROUND(SUM(AN14,AN21,AN24,AN30,AN35,AN39),0)</f>
        <v>0</v>
      </c>
      <c r="AO43" s="168"/>
      <c r="AP43" s="165"/>
      <c r="AQ43" s="264">
        <f t="shared" ref="AQ43" si="527">ROUND(SUM(AQ14,AQ21,AQ24,AQ30,AQ35,AQ39),0)</f>
        <v>14381342298</v>
      </c>
      <c r="AR43" s="168"/>
      <c r="AS43" s="165"/>
      <c r="AT43" s="264">
        <f t="shared" ref="AT43" si="528">ROUND(SUM(AT14,AT21,AT24,AT30,AT35,AT39),0)</f>
        <v>14734863069</v>
      </c>
      <c r="AU43" s="168"/>
      <c r="AV43" s="165"/>
      <c r="AW43" s="264">
        <f t="shared" ref="AW43" si="529">ROUND(SUM(AW14,AW21,AW24,AW30,AW35,AW39),0)</f>
        <v>14391009941</v>
      </c>
      <c r="AX43" s="168"/>
      <c r="AY43" s="165"/>
      <c r="AZ43" s="264">
        <f t="shared" ref="AZ43" si="530">ROUND(SUM(AZ14,AZ21,AZ24,AZ30,AZ35,AZ39),0)</f>
        <v>14783115457</v>
      </c>
      <c r="BA43" s="168"/>
      <c r="BB43" s="165"/>
      <c r="BC43" s="264">
        <f t="shared" ref="BC43" si="531">ROUND(SUM(BC14,BC21,BC24,BC30,BC35,BC39),0)</f>
        <v>14649274192</v>
      </c>
      <c r="BD43" s="168"/>
      <c r="BE43" s="165"/>
      <c r="BF43" s="264">
        <f t="shared" ref="BF43" si="532">ROUND(SUM(BF14,BF21,BF24,BF30,BF35,BF39),0)</f>
        <v>0</v>
      </c>
      <c r="BG43" s="168"/>
      <c r="BH43" s="165"/>
      <c r="BI43" s="264">
        <f t="shared" ref="BI43" si="533">ROUND(SUM(BI14,BI21,BI24,BI30,BI35,BI39),0)</f>
        <v>0</v>
      </c>
      <c r="BJ43" s="168"/>
      <c r="BK43" s="165"/>
      <c r="BL43" s="264">
        <f t="shared" ref="BL43" si="534">ROUND(SUM(BL14,BL21,BL24,BL30,BL35,BL39),0)</f>
        <v>14634541904</v>
      </c>
      <c r="BM43" s="168"/>
      <c r="BN43" s="165"/>
      <c r="BO43" s="264">
        <f t="shared" ref="BO43" si="535">ROUND(SUM(BO14,BO21,BO24,BO30,BO35,BO39),0)</f>
        <v>14635071294</v>
      </c>
      <c r="BP43" s="168"/>
      <c r="BQ43" s="165"/>
      <c r="BR43" s="264">
        <f t="shared" ref="BR43" si="536">ROUND(SUM(BR14,BR21,BR24,BR30,BR35,BR39),0)</f>
        <v>14374016717</v>
      </c>
      <c r="BS43" s="168"/>
      <c r="BT43"/>
    </row>
    <row r="44" spans="1:72" s="40" customFormat="1" ht="32.25" customHeight="1" x14ac:dyDescent="0.2">
      <c r="A44" s="39"/>
      <c r="B44" s="349" t="s">
        <v>91</v>
      </c>
      <c r="C44" s="350"/>
      <c r="D44" s="350"/>
      <c r="E44" s="350"/>
      <c r="F44" s="351"/>
      <c r="G44" s="255">
        <v>0.23</v>
      </c>
      <c r="H44" s="238">
        <f>ROUND($H$43*G44,0)</f>
        <v>3400526427</v>
      </c>
      <c r="I44" s="273">
        <v>0.23</v>
      </c>
      <c r="J44" s="238">
        <f>ROUND(J43*I44,0)</f>
        <v>3399547814</v>
      </c>
      <c r="K44" s="166"/>
      <c r="L44" s="273">
        <v>0.2298</v>
      </c>
      <c r="M44" s="238">
        <f t="shared" ref="M44" si="537">ROUND(M43*L44,0)</f>
        <v>3359079966</v>
      </c>
      <c r="N44" s="166"/>
      <c r="O44" s="273">
        <v>0.23</v>
      </c>
      <c r="P44" s="238">
        <f t="shared" ref="P44" si="538">ROUND(P43*O44,0)</f>
        <v>3395991427</v>
      </c>
      <c r="Q44" s="166"/>
      <c r="R44" s="273">
        <v>0.23</v>
      </c>
      <c r="S44" s="238">
        <f t="shared" ref="S44" si="539">ROUND(S43*R44,0)</f>
        <v>3326450230</v>
      </c>
      <c r="T44" s="166"/>
      <c r="U44" s="273">
        <v>0.23</v>
      </c>
      <c r="V44" s="238">
        <f t="shared" ref="V44" si="540">ROUND(V43*U44,0)</f>
        <v>3373622056</v>
      </c>
      <c r="W44" s="166"/>
      <c r="X44" s="273">
        <v>0.23</v>
      </c>
      <c r="Y44" s="238">
        <f t="shared" ref="Y44" si="541">ROUND(Y43*X44,0)</f>
        <v>3380185293</v>
      </c>
      <c r="Z44" s="166"/>
      <c r="AA44" s="273"/>
      <c r="AB44" s="238">
        <f t="shared" ref="AB44" si="542">ROUND(AB43*AA44,0)</f>
        <v>0</v>
      </c>
      <c r="AC44" s="166"/>
      <c r="AD44" s="273">
        <v>0.23</v>
      </c>
      <c r="AE44" s="238">
        <f t="shared" ref="AE44" si="543">ROUND(AE43*AD44,0)</f>
        <v>3354613120</v>
      </c>
      <c r="AF44" s="166"/>
      <c r="AG44" s="273"/>
      <c r="AH44" s="238">
        <f t="shared" ref="AH44" si="544">ROUND(AH43*AG44,0)</f>
        <v>0</v>
      </c>
      <c r="AI44" s="166"/>
      <c r="AJ44" s="273"/>
      <c r="AK44" s="238">
        <f t="shared" ref="AK44" si="545">ROUND(AK43*AJ44,0)</f>
        <v>0</v>
      </c>
      <c r="AL44" s="166"/>
      <c r="AM44" s="273"/>
      <c r="AN44" s="238">
        <f t="shared" ref="AN44" si="546">ROUND(AN43*AM44,0)</f>
        <v>0</v>
      </c>
      <c r="AO44" s="166"/>
      <c r="AP44" s="273">
        <v>0.23</v>
      </c>
      <c r="AQ44" s="238">
        <f t="shared" ref="AQ44" si="547">ROUND(AQ43*AP44,0)</f>
        <v>3307708729</v>
      </c>
      <c r="AR44" s="166"/>
      <c r="AS44" s="273">
        <v>0.23</v>
      </c>
      <c r="AT44" s="238">
        <f t="shared" ref="AT44" si="548">ROUND(AT43*AS44,0)</f>
        <v>3389018506</v>
      </c>
      <c r="AU44" s="166"/>
      <c r="AV44" s="273">
        <v>0.23</v>
      </c>
      <c r="AW44" s="238">
        <f t="shared" ref="AW44" si="549">ROUND(AW43*AV44,0)</f>
        <v>3309932286</v>
      </c>
      <c r="AX44" s="166"/>
      <c r="AY44" s="273">
        <v>0.23</v>
      </c>
      <c r="AZ44" s="238">
        <f t="shared" ref="AZ44" si="550">ROUND(AZ43*AY44,0)</f>
        <v>3400116555</v>
      </c>
      <c r="BA44" s="166"/>
      <c r="BB44" s="273">
        <v>0.23</v>
      </c>
      <c r="BC44" s="238">
        <f t="shared" ref="BC44" si="551">ROUND(BC43*BB44,0)</f>
        <v>3369333064</v>
      </c>
      <c r="BD44" s="166"/>
      <c r="BE44" s="273"/>
      <c r="BF44" s="238">
        <f t="shared" ref="BF44" si="552">ROUND(BF43*BE44,0)</f>
        <v>0</v>
      </c>
      <c r="BG44" s="166"/>
      <c r="BH44" s="273"/>
      <c r="BI44" s="238">
        <f t="shared" ref="BI44" si="553">ROUND(BI43*BH44,0)</f>
        <v>0</v>
      </c>
      <c r="BJ44" s="166"/>
      <c r="BK44" s="273">
        <v>0.23</v>
      </c>
      <c r="BL44" s="238">
        <f t="shared" ref="BL44" si="554">ROUND(BL43*BK44,0)</f>
        <v>3365944638</v>
      </c>
      <c r="BM44" s="166"/>
      <c r="BN44" s="273">
        <v>0.22</v>
      </c>
      <c r="BO44" s="238">
        <f t="shared" ref="BO44" si="555">ROUND(BO43*BN44,0)</f>
        <v>3219715685</v>
      </c>
      <c r="BP44" s="166"/>
      <c r="BQ44" s="273">
        <v>0.23</v>
      </c>
      <c r="BR44" s="238">
        <f t="shared" ref="BR44" si="556">ROUND(BR43*BQ44,0)</f>
        <v>3306023845</v>
      </c>
      <c r="BS44" s="166"/>
      <c r="BT44"/>
    </row>
    <row r="45" spans="1:72" s="40" customFormat="1" ht="32.25" customHeight="1" x14ac:dyDescent="0.2">
      <c r="A45" s="39"/>
      <c r="B45" s="349" t="s">
        <v>92</v>
      </c>
      <c r="C45" s="350"/>
      <c r="D45" s="350"/>
      <c r="E45" s="350"/>
      <c r="F45" s="351"/>
      <c r="G45" s="255">
        <v>0.03</v>
      </c>
      <c r="H45" s="238">
        <f t="shared" ref="H45:H46" si="557">ROUND($H$43*G45,0)</f>
        <v>443546925</v>
      </c>
      <c r="I45" s="273">
        <v>0.03</v>
      </c>
      <c r="J45" s="238">
        <f>ROUND(J43*I45,0)</f>
        <v>443419280</v>
      </c>
      <c r="K45" s="166"/>
      <c r="L45" s="273">
        <v>0.03</v>
      </c>
      <c r="M45" s="238">
        <f t="shared" ref="M45" si="558">ROUND(M43*L45,0)</f>
        <v>438522189</v>
      </c>
      <c r="N45" s="166"/>
      <c r="O45" s="273">
        <v>0.03</v>
      </c>
      <c r="P45" s="238">
        <f t="shared" ref="P45" si="559">ROUND(P43*O45,0)</f>
        <v>442955403</v>
      </c>
      <c r="Q45" s="166"/>
      <c r="R45" s="273">
        <v>0.03</v>
      </c>
      <c r="S45" s="238">
        <f t="shared" ref="S45" si="560">ROUND(S43*R45,0)</f>
        <v>433884813</v>
      </c>
      <c r="T45" s="166"/>
      <c r="U45" s="273">
        <v>0.03</v>
      </c>
      <c r="V45" s="238">
        <f t="shared" ref="V45" si="561">ROUND(V43*U45,0)</f>
        <v>440037659</v>
      </c>
      <c r="W45" s="166"/>
      <c r="X45" s="273">
        <v>0.03</v>
      </c>
      <c r="Y45" s="238">
        <f t="shared" ref="Y45" si="562">ROUND(Y43*X45,0)</f>
        <v>440893734</v>
      </c>
      <c r="Z45" s="166"/>
      <c r="AA45" s="273"/>
      <c r="AB45" s="238">
        <f t="shared" ref="AB45" si="563">ROUND(AB43*AA45,0)</f>
        <v>0</v>
      </c>
      <c r="AC45" s="166"/>
      <c r="AD45" s="273">
        <v>0.03</v>
      </c>
      <c r="AE45" s="238">
        <f t="shared" ref="AE45" si="564">ROUND(AE43*AD45,0)</f>
        <v>437558233</v>
      </c>
      <c r="AF45" s="166"/>
      <c r="AG45" s="273"/>
      <c r="AH45" s="238">
        <f t="shared" ref="AH45" si="565">ROUND(AH43*AG45,0)</f>
        <v>0</v>
      </c>
      <c r="AI45" s="166"/>
      <c r="AJ45" s="273"/>
      <c r="AK45" s="238">
        <f t="shared" ref="AK45" si="566">ROUND(AK43*AJ45,0)</f>
        <v>0</v>
      </c>
      <c r="AL45" s="166"/>
      <c r="AM45" s="273"/>
      <c r="AN45" s="238">
        <f t="shared" ref="AN45" si="567">ROUND(AN43*AM45,0)</f>
        <v>0</v>
      </c>
      <c r="AO45" s="166"/>
      <c r="AP45" s="273">
        <v>0.03</v>
      </c>
      <c r="AQ45" s="238">
        <f t="shared" ref="AQ45" si="568">ROUND(AQ43*AP45,0)</f>
        <v>431440269</v>
      </c>
      <c r="AR45" s="166"/>
      <c r="AS45" s="273">
        <v>0.03</v>
      </c>
      <c r="AT45" s="238">
        <f t="shared" ref="AT45" si="569">ROUND(AT43*AS45,0)</f>
        <v>442045892</v>
      </c>
      <c r="AU45" s="166"/>
      <c r="AV45" s="273">
        <v>0.03</v>
      </c>
      <c r="AW45" s="238">
        <f t="shared" ref="AW45" si="570">ROUND(AW43*AV45,0)</f>
        <v>431730298</v>
      </c>
      <c r="AX45" s="166"/>
      <c r="AY45" s="273">
        <v>0.03</v>
      </c>
      <c r="AZ45" s="238">
        <f t="shared" ref="AZ45" si="571">ROUND(AZ43*AY45,0)</f>
        <v>443493464</v>
      </c>
      <c r="BA45" s="166"/>
      <c r="BB45" s="273">
        <v>0.03</v>
      </c>
      <c r="BC45" s="238">
        <f t="shared" ref="BC45" si="572">ROUND(BC43*BB45,0)</f>
        <v>439478226</v>
      </c>
      <c r="BD45" s="166"/>
      <c r="BE45" s="273"/>
      <c r="BF45" s="238">
        <f t="shared" ref="BF45" si="573">ROUND(BF43*BE45,0)</f>
        <v>0</v>
      </c>
      <c r="BG45" s="166"/>
      <c r="BH45" s="273"/>
      <c r="BI45" s="238">
        <f t="shared" ref="BI45" si="574">ROUND(BI43*BH45,0)</f>
        <v>0</v>
      </c>
      <c r="BJ45" s="166"/>
      <c r="BK45" s="273">
        <v>0.03</v>
      </c>
      <c r="BL45" s="238">
        <f t="shared" ref="BL45" si="575">ROUND(BL43*BK45,0)</f>
        <v>439036257</v>
      </c>
      <c r="BM45" s="166"/>
      <c r="BN45" s="273">
        <v>0.05</v>
      </c>
      <c r="BO45" s="238">
        <f t="shared" ref="BO45" si="576">ROUND(BO43*BN45,0)</f>
        <v>731753565</v>
      </c>
      <c r="BP45" s="166"/>
      <c r="BQ45" s="273">
        <v>0.03</v>
      </c>
      <c r="BR45" s="238">
        <f t="shared" ref="BR45" si="577">ROUND(BR43*BQ45,0)</f>
        <v>431220502</v>
      </c>
      <c r="BS45" s="166"/>
      <c r="BT45"/>
    </row>
    <row r="46" spans="1:72" s="40" customFormat="1" ht="32.25" customHeight="1" x14ac:dyDescent="0.2">
      <c r="A46" s="39"/>
      <c r="B46" s="349" t="s">
        <v>93</v>
      </c>
      <c r="C46" s="350"/>
      <c r="D46" s="350"/>
      <c r="E46" s="350"/>
      <c r="F46" s="351"/>
      <c r="G46" s="255">
        <v>0.06</v>
      </c>
      <c r="H46" s="238">
        <f t="shared" si="557"/>
        <v>887093850</v>
      </c>
      <c r="I46" s="274">
        <v>0.06</v>
      </c>
      <c r="J46" s="238">
        <f>ROUND(J43*I46,0)</f>
        <v>886838560</v>
      </c>
      <c r="K46" s="167"/>
      <c r="L46" s="274">
        <v>0.06</v>
      </c>
      <c r="M46" s="238">
        <f t="shared" ref="M46" si="578">ROUND(M43*L46,0)</f>
        <v>877044378</v>
      </c>
      <c r="N46" s="167"/>
      <c r="O46" s="274">
        <v>0.06</v>
      </c>
      <c r="P46" s="238">
        <f t="shared" ref="P46" si="579">ROUND(P43*O46,0)</f>
        <v>885910807</v>
      </c>
      <c r="Q46" s="167"/>
      <c r="R46" s="274">
        <v>0.06</v>
      </c>
      <c r="S46" s="238">
        <f t="shared" ref="S46" si="580">ROUND(S43*R46,0)</f>
        <v>867769625</v>
      </c>
      <c r="T46" s="167"/>
      <c r="U46" s="274">
        <v>0.06</v>
      </c>
      <c r="V46" s="238">
        <f t="shared" ref="V46" si="581">ROUND(V43*U46,0)</f>
        <v>880075319</v>
      </c>
      <c r="W46" s="167"/>
      <c r="X46" s="274">
        <v>0.06</v>
      </c>
      <c r="Y46" s="238">
        <f t="shared" ref="Y46" si="582">ROUND(Y43*X46,0)</f>
        <v>881787468</v>
      </c>
      <c r="Z46" s="167"/>
      <c r="AA46" s="274"/>
      <c r="AB46" s="238">
        <f t="shared" ref="AB46" si="583">ROUND(AB43*AA46,0)</f>
        <v>0</v>
      </c>
      <c r="AC46" s="167"/>
      <c r="AD46" s="274">
        <v>0.06</v>
      </c>
      <c r="AE46" s="238">
        <f t="shared" ref="AE46" si="584">ROUND(AE43*AD46,0)</f>
        <v>875116466</v>
      </c>
      <c r="AF46" s="167"/>
      <c r="AG46" s="274"/>
      <c r="AH46" s="238">
        <f t="shared" ref="AH46" si="585">ROUND(AH43*AG46,0)</f>
        <v>0</v>
      </c>
      <c r="AI46" s="167"/>
      <c r="AJ46" s="274"/>
      <c r="AK46" s="238">
        <f t="shared" ref="AK46" si="586">ROUND(AK43*AJ46,0)</f>
        <v>0</v>
      </c>
      <c r="AL46" s="167"/>
      <c r="AM46" s="274"/>
      <c r="AN46" s="238">
        <f t="shared" ref="AN46" si="587">ROUND(AN43*AM46,0)</f>
        <v>0</v>
      </c>
      <c r="AO46" s="167"/>
      <c r="AP46" s="274">
        <v>0.06</v>
      </c>
      <c r="AQ46" s="238">
        <f t="shared" ref="AQ46" si="588">ROUND(AQ43*AP46,0)</f>
        <v>862880538</v>
      </c>
      <c r="AR46" s="167"/>
      <c r="AS46" s="274">
        <v>0.06</v>
      </c>
      <c r="AT46" s="238">
        <f t="shared" ref="AT46" si="589">ROUND(AT43*AS46,0)</f>
        <v>884091784</v>
      </c>
      <c r="AU46" s="167"/>
      <c r="AV46" s="274">
        <v>0.06</v>
      </c>
      <c r="AW46" s="238">
        <f t="shared" ref="AW46" si="590">ROUND(AW43*AV46,0)</f>
        <v>863460596</v>
      </c>
      <c r="AX46" s="167"/>
      <c r="AY46" s="274">
        <v>0.06</v>
      </c>
      <c r="AZ46" s="238">
        <f t="shared" ref="AZ46" si="591">ROUND(AZ43*AY46,0)</f>
        <v>886986927</v>
      </c>
      <c r="BA46" s="167"/>
      <c r="BB46" s="274">
        <v>0.06</v>
      </c>
      <c r="BC46" s="238">
        <f t="shared" ref="BC46" si="592">ROUND(BC43*BB46,0)</f>
        <v>878956452</v>
      </c>
      <c r="BD46" s="167"/>
      <c r="BE46" s="274"/>
      <c r="BF46" s="238">
        <f t="shared" ref="BF46" si="593">ROUND(BF43*BE46,0)</f>
        <v>0</v>
      </c>
      <c r="BG46" s="167"/>
      <c r="BH46" s="274"/>
      <c r="BI46" s="238">
        <f t="shared" ref="BI46" si="594">ROUND(BI43*BH46,0)</f>
        <v>0</v>
      </c>
      <c r="BJ46" s="167"/>
      <c r="BK46" s="274">
        <v>0.06</v>
      </c>
      <c r="BL46" s="238">
        <f t="shared" ref="BL46" si="595">ROUND(BL43*BK46,0)</f>
        <v>878072514</v>
      </c>
      <c r="BM46" s="167"/>
      <c r="BN46" s="274">
        <v>0.05</v>
      </c>
      <c r="BO46" s="238">
        <f t="shared" ref="BO46" si="596">ROUND(BO43*BN46,0)</f>
        <v>731753565</v>
      </c>
      <c r="BP46" s="167"/>
      <c r="BQ46" s="274">
        <v>0.06</v>
      </c>
      <c r="BR46" s="238">
        <f t="shared" ref="BR46" si="597">ROUND(BR43*BQ46,0)</f>
        <v>862441003</v>
      </c>
      <c r="BS46" s="167"/>
      <c r="BT46"/>
    </row>
    <row r="47" spans="1:72" s="40" customFormat="1" ht="32.25" customHeight="1" x14ac:dyDescent="0.2">
      <c r="A47" s="39"/>
      <c r="B47" s="360" t="s">
        <v>109</v>
      </c>
      <c r="C47" s="361"/>
      <c r="D47" s="361"/>
      <c r="E47" s="361"/>
      <c r="F47" s="362"/>
      <c r="G47" s="256">
        <f>SUM(G44:G46)</f>
        <v>0.32</v>
      </c>
      <c r="H47" s="257">
        <f>SUM(H44:H46)</f>
        <v>4731167202</v>
      </c>
      <c r="I47" s="263">
        <f>SUM(I44:I46)</f>
        <v>0.32</v>
      </c>
      <c r="J47" s="257">
        <f t="shared" ref="J47" si="598">SUM(J44:J46)</f>
        <v>4729805654</v>
      </c>
      <c r="K47" s="164" t="str">
        <f>IF(OR(J47&lt;0.9*$H47,J47&gt;1.1*$H47),"NO VÁLIDA","VÁLIDA")</f>
        <v>VÁLIDA</v>
      </c>
      <c r="L47" s="263">
        <f t="shared" ref="L47:BR47" si="599">SUM(L44:L46)</f>
        <v>0.31980000000000003</v>
      </c>
      <c r="M47" s="257">
        <f t="shared" si="599"/>
        <v>4674646533</v>
      </c>
      <c r="N47" s="164" t="str">
        <f t="shared" ref="N47" si="600">IF(OR(M47&lt;0.9*$H47,M47&gt;1.1*$H47),"NO VÁLIDA","VÁLIDA")</f>
        <v>VÁLIDA</v>
      </c>
      <c r="O47" s="263">
        <f t="shared" ref="O47" si="601">SUM(O44:O46)</f>
        <v>0.32</v>
      </c>
      <c r="P47" s="257">
        <f t="shared" si="599"/>
        <v>4724857637</v>
      </c>
      <c r="Q47" s="164" t="str">
        <f t="shared" ref="Q47" si="602">IF(OR(P47&lt;0.9*$H47,P47&gt;1.1*$H47),"NO VÁLIDA","VÁLIDA")</f>
        <v>VÁLIDA</v>
      </c>
      <c r="R47" s="263">
        <f t="shared" ref="R47" si="603">SUM(R44:R46)</f>
        <v>0.32</v>
      </c>
      <c r="S47" s="257">
        <f t="shared" si="599"/>
        <v>4628104668</v>
      </c>
      <c r="T47" s="164" t="str">
        <f t="shared" ref="T47" si="604">IF(OR(S47&lt;0.9*$H47,S47&gt;1.1*$H47),"NO VÁLIDA","VÁLIDA")</f>
        <v>VÁLIDA</v>
      </c>
      <c r="U47" s="263">
        <f t="shared" ref="U47" si="605">SUM(U44:U46)</f>
        <v>0.32</v>
      </c>
      <c r="V47" s="257">
        <f t="shared" si="599"/>
        <v>4693735034</v>
      </c>
      <c r="W47" s="164" t="str">
        <f t="shared" ref="W47" si="606">IF(OR(V47&lt;0.9*$H47,V47&gt;1.1*$H47),"NO VÁLIDA","VÁLIDA")</f>
        <v>VÁLIDA</v>
      </c>
      <c r="X47" s="263">
        <f t="shared" ref="X47" si="607">SUM(X44:X46)</f>
        <v>0.32</v>
      </c>
      <c r="Y47" s="257">
        <f t="shared" si="599"/>
        <v>4702866495</v>
      </c>
      <c r="Z47" s="164" t="str">
        <f t="shared" ref="Z47" si="608">IF(OR(Y47&lt;0.9*$H47,Y47&gt;1.1*$H47),"NO VÁLIDA","VÁLIDA")</f>
        <v>VÁLIDA</v>
      </c>
      <c r="AA47" s="263">
        <f t="shared" ref="AA47" si="609">SUM(AA44:AA46)</f>
        <v>0</v>
      </c>
      <c r="AB47" s="257">
        <f t="shared" si="599"/>
        <v>0</v>
      </c>
      <c r="AC47" s="164" t="str">
        <f t="shared" ref="AC47" si="610">IF(OR(AB47&lt;0.9*$H47,AB47&gt;1.1*$H47),"NO VÁLIDA","VÁLIDA")</f>
        <v>NO VÁLIDA</v>
      </c>
      <c r="AD47" s="263">
        <f t="shared" ref="AD47" si="611">SUM(AD44:AD46)</f>
        <v>0.32</v>
      </c>
      <c r="AE47" s="257">
        <f t="shared" si="599"/>
        <v>4667287819</v>
      </c>
      <c r="AF47" s="164" t="str">
        <f t="shared" ref="AF47" si="612">IF(OR(AE47&lt;0.9*$H47,AE47&gt;1.1*$H47),"NO VÁLIDA","VÁLIDA")</f>
        <v>VÁLIDA</v>
      </c>
      <c r="AG47" s="263">
        <f t="shared" ref="AG47" si="613">SUM(AG44:AG46)</f>
        <v>0</v>
      </c>
      <c r="AH47" s="257">
        <f t="shared" si="599"/>
        <v>0</v>
      </c>
      <c r="AI47" s="164" t="str">
        <f t="shared" ref="AI47" si="614">IF(OR(AH47&lt;0.9*$H47,AH47&gt;1.1*$H47),"NO VÁLIDA","VÁLIDA")</f>
        <v>NO VÁLIDA</v>
      </c>
      <c r="AJ47" s="263">
        <f t="shared" ref="AJ47" si="615">SUM(AJ44:AJ46)</f>
        <v>0</v>
      </c>
      <c r="AK47" s="257">
        <f t="shared" si="599"/>
        <v>0</v>
      </c>
      <c r="AL47" s="164" t="str">
        <f t="shared" ref="AL47" si="616">IF(OR(AK47&lt;0.9*$H47,AK47&gt;1.1*$H47),"NO VÁLIDA","VÁLIDA")</f>
        <v>NO VÁLIDA</v>
      </c>
      <c r="AM47" s="263">
        <f t="shared" ref="AM47" si="617">SUM(AM44:AM46)</f>
        <v>0</v>
      </c>
      <c r="AN47" s="257">
        <f t="shared" si="599"/>
        <v>0</v>
      </c>
      <c r="AO47" s="164" t="str">
        <f t="shared" ref="AO47" si="618">IF(OR(AN47&lt;0.9*$H47,AN47&gt;1.1*$H47),"NO VÁLIDA","VÁLIDA")</f>
        <v>NO VÁLIDA</v>
      </c>
      <c r="AP47" s="263">
        <f t="shared" ref="AP47" si="619">SUM(AP44:AP46)</f>
        <v>0.32</v>
      </c>
      <c r="AQ47" s="257">
        <f t="shared" si="599"/>
        <v>4602029536</v>
      </c>
      <c r="AR47" s="164" t="str">
        <f t="shared" ref="AR47" si="620">IF(OR(AQ47&lt;0.9*$H47,AQ47&gt;1.1*$H47),"NO VÁLIDA","VÁLIDA")</f>
        <v>VÁLIDA</v>
      </c>
      <c r="AS47" s="263">
        <f t="shared" ref="AS47" si="621">SUM(AS44:AS46)</f>
        <v>0.32</v>
      </c>
      <c r="AT47" s="257">
        <f t="shared" si="599"/>
        <v>4715156182</v>
      </c>
      <c r="AU47" s="164" t="str">
        <f t="shared" ref="AU47" si="622">IF(OR(AT47&lt;0.9*$H47,AT47&gt;1.1*$H47),"NO VÁLIDA","VÁLIDA")</f>
        <v>VÁLIDA</v>
      </c>
      <c r="AV47" s="263">
        <f t="shared" ref="AV47" si="623">SUM(AV44:AV46)</f>
        <v>0.32</v>
      </c>
      <c r="AW47" s="257">
        <f t="shared" si="599"/>
        <v>4605123180</v>
      </c>
      <c r="AX47" s="164" t="str">
        <f t="shared" ref="AX47" si="624">IF(OR(AW47&lt;0.9*$H47,AW47&gt;1.1*$H47),"NO VÁLIDA","VÁLIDA")</f>
        <v>VÁLIDA</v>
      </c>
      <c r="AY47" s="263">
        <f t="shared" ref="AY47" si="625">SUM(AY44:AY46)</f>
        <v>0.32</v>
      </c>
      <c r="AZ47" s="257">
        <f t="shared" si="599"/>
        <v>4730596946</v>
      </c>
      <c r="BA47" s="164" t="str">
        <f t="shared" ref="BA47" si="626">IF(OR(AZ47&lt;0.9*$H47,AZ47&gt;1.1*$H47),"NO VÁLIDA","VÁLIDA")</f>
        <v>VÁLIDA</v>
      </c>
      <c r="BB47" s="263">
        <f t="shared" ref="BB47" si="627">SUM(BB44:BB46)</f>
        <v>0.32</v>
      </c>
      <c r="BC47" s="257">
        <f t="shared" si="599"/>
        <v>4687767742</v>
      </c>
      <c r="BD47" s="164" t="str">
        <f t="shared" ref="BD47" si="628">IF(OR(BC47&lt;0.9*$H47,BC47&gt;1.1*$H47),"NO VÁLIDA","VÁLIDA")</f>
        <v>VÁLIDA</v>
      </c>
      <c r="BE47" s="263">
        <f t="shared" ref="BE47" si="629">SUM(BE44:BE46)</f>
        <v>0</v>
      </c>
      <c r="BF47" s="257">
        <f t="shared" si="599"/>
        <v>0</v>
      </c>
      <c r="BG47" s="164" t="str">
        <f t="shared" ref="BG47" si="630">IF(OR(BF47&lt;0.9*$H47,BF47&gt;1.1*$H47),"NO VÁLIDA","VÁLIDA")</f>
        <v>NO VÁLIDA</v>
      </c>
      <c r="BH47" s="263">
        <f t="shared" ref="BH47" si="631">SUM(BH44:BH46)</f>
        <v>0</v>
      </c>
      <c r="BI47" s="257">
        <f t="shared" si="599"/>
        <v>0</v>
      </c>
      <c r="BJ47" s="164" t="str">
        <f t="shared" ref="BJ47" si="632">IF(OR(BI47&lt;0.9*$H47,BI47&gt;1.1*$H47),"NO VÁLIDA","VÁLIDA")</f>
        <v>NO VÁLIDA</v>
      </c>
      <c r="BK47" s="263">
        <f t="shared" ref="BK47" si="633">SUM(BK44:BK46)</f>
        <v>0.32</v>
      </c>
      <c r="BL47" s="257">
        <f t="shared" si="599"/>
        <v>4683053409</v>
      </c>
      <c r="BM47" s="164" t="str">
        <f t="shared" ref="BM47" si="634">IF(OR(BL47&lt;0.9*$H47,BL47&gt;1.1*$H47),"NO VÁLIDA","VÁLIDA")</f>
        <v>VÁLIDA</v>
      </c>
      <c r="BN47" s="263">
        <f t="shared" ref="BN47" si="635">SUM(BN44:BN46)</f>
        <v>0.32</v>
      </c>
      <c r="BO47" s="257">
        <f t="shared" si="599"/>
        <v>4683222815</v>
      </c>
      <c r="BP47" s="164" t="str">
        <f t="shared" ref="BP47" si="636">IF(OR(BO47&lt;0.9*$H47,BO47&gt;1.1*$H47),"NO VÁLIDA","VÁLIDA")</f>
        <v>VÁLIDA</v>
      </c>
      <c r="BQ47" s="263">
        <f t="shared" ref="BQ47" si="637">SUM(BQ44:BQ46)</f>
        <v>0.32</v>
      </c>
      <c r="BR47" s="257">
        <f t="shared" si="599"/>
        <v>4599685350</v>
      </c>
      <c r="BS47" s="164" t="str">
        <f t="shared" ref="BS47" si="638">IF(OR(BR47&lt;0.9*$H47,BR47&gt;1.1*$H47),"NO VÁLIDA","VÁLIDA")</f>
        <v>VÁLIDA</v>
      </c>
      <c r="BT47"/>
    </row>
    <row r="48" spans="1:72" s="40" customFormat="1" ht="32.25" customHeight="1" x14ac:dyDescent="0.2">
      <c r="A48" s="39"/>
      <c r="B48" s="251"/>
      <c r="C48" s="252"/>
      <c r="D48" s="253"/>
      <c r="E48" s="252"/>
      <c r="F48" s="254"/>
      <c r="G48" s="254" t="s">
        <v>141</v>
      </c>
      <c r="H48" s="250">
        <f>ROUND(SUM(H43,H47),0)</f>
        <v>19516064709</v>
      </c>
      <c r="I48" s="165"/>
      <c r="J48" s="265">
        <f>ROUND(SUM(J43,J47),0)</f>
        <v>19510448322</v>
      </c>
      <c r="K48" s="168"/>
      <c r="L48" s="165"/>
      <c r="M48" s="265">
        <f t="shared" ref="M48" si="639">ROUND(SUM(M43,M47),0)</f>
        <v>19292052826</v>
      </c>
      <c r="N48" s="168"/>
      <c r="O48" s="165"/>
      <c r="P48" s="265">
        <f t="shared" ref="P48" si="640">ROUND(SUM(P43,P47),0)</f>
        <v>19490037753</v>
      </c>
      <c r="Q48" s="168"/>
      <c r="R48" s="165"/>
      <c r="S48" s="265">
        <f t="shared" ref="S48" si="641">ROUND(SUM(S43,S47),0)</f>
        <v>19090931755</v>
      </c>
      <c r="T48" s="168"/>
      <c r="U48" s="165"/>
      <c r="V48" s="265">
        <f t="shared" ref="V48" si="642">ROUND(SUM(V43,V47),0)</f>
        <v>19361657016</v>
      </c>
      <c r="W48" s="168"/>
      <c r="X48" s="165"/>
      <c r="Y48" s="265">
        <f t="shared" ref="Y48" si="643">ROUND(SUM(Y43,Y47),0)</f>
        <v>19399324291</v>
      </c>
      <c r="Z48" s="168"/>
      <c r="AA48" s="165"/>
      <c r="AB48" s="265">
        <f t="shared" ref="AB48" si="644">ROUND(SUM(AB43,AB47),0)</f>
        <v>0</v>
      </c>
      <c r="AC48" s="168"/>
      <c r="AD48" s="165"/>
      <c r="AE48" s="265">
        <f t="shared" ref="AE48" si="645">ROUND(SUM(AE43,AE47),0)</f>
        <v>19252562253</v>
      </c>
      <c r="AF48" s="168"/>
      <c r="AG48" s="165"/>
      <c r="AH48" s="265">
        <f t="shared" ref="AH48" si="646">ROUND(SUM(AH43,AH47),0)</f>
        <v>0</v>
      </c>
      <c r="AI48" s="168"/>
      <c r="AJ48" s="165"/>
      <c r="AK48" s="265">
        <f t="shared" ref="AK48" si="647">ROUND(SUM(AK43,AK47),0)</f>
        <v>0</v>
      </c>
      <c r="AL48" s="168"/>
      <c r="AM48" s="165"/>
      <c r="AN48" s="265">
        <f t="shared" ref="AN48" si="648">ROUND(SUM(AN43,AN47),0)</f>
        <v>0</v>
      </c>
      <c r="AO48" s="168"/>
      <c r="AP48" s="165"/>
      <c r="AQ48" s="265">
        <f t="shared" ref="AQ48" si="649">ROUND(SUM(AQ43,AQ47),0)</f>
        <v>18983371834</v>
      </c>
      <c r="AR48" s="168"/>
      <c r="AS48" s="165"/>
      <c r="AT48" s="265">
        <f t="shared" ref="AT48" si="650">ROUND(SUM(AT43,AT47),0)</f>
        <v>19450019251</v>
      </c>
      <c r="AU48" s="168"/>
      <c r="AV48" s="165"/>
      <c r="AW48" s="265">
        <f t="shared" ref="AW48" si="651">ROUND(SUM(AW43,AW47),0)</f>
        <v>18996133121</v>
      </c>
      <c r="AX48" s="168"/>
      <c r="AY48" s="165"/>
      <c r="AZ48" s="265">
        <f t="shared" ref="AZ48" si="652">ROUND(SUM(AZ43,AZ47),0)</f>
        <v>19513712403</v>
      </c>
      <c r="BA48" s="168"/>
      <c r="BB48" s="165"/>
      <c r="BC48" s="265">
        <f t="shared" ref="BC48" si="653">ROUND(SUM(BC43,BC47),0)</f>
        <v>19337041934</v>
      </c>
      <c r="BD48" s="168"/>
      <c r="BE48" s="165"/>
      <c r="BF48" s="265">
        <f t="shared" ref="BF48" si="654">ROUND(SUM(BF43,BF47),0)</f>
        <v>0</v>
      </c>
      <c r="BG48" s="168"/>
      <c r="BH48" s="165"/>
      <c r="BI48" s="265">
        <f t="shared" ref="BI48" si="655">ROUND(SUM(BI43,BI47),0)</f>
        <v>0</v>
      </c>
      <c r="BJ48" s="168"/>
      <c r="BK48" s="165"/>
      <c r="BL48" s="265">
        <f t="shared" ref="BL48" si="656">ROUND(SUM(BL43,BL47),0)</f>
        <v>19317595313</v>
      </c>
      <c r="BM48" s="168"/>
      <c r="BN48" s="165"/>
      <c r="BO48" s="265">
        <f t="shared" ref="BO48" si="657">ROUND(SUM(BO43,BO47),0)</f>
        <v>19318294109</v>
      </c>
      <c r="BP48" s="168"/>
      <c r="BQ48" s="165"/>
      <c r="BR48" s="265">
        <f t="shared" ref="BR48" si="658">ROUND(SUM(BR43,BR47),0)</f>
        <v>18973702067</v>
      </c>
      <c r="BS48" s="168"/>
      <c r="BT48"/>
    </row>
    <row r="49" spans="1:72" s="40" customFormat="1" ht="32.25" customHeight="1" x14ac:dyDescent="0.2">
      <c r="A49" s="39"/>
      <c r="B49" s="360" t="s">
        <v>110</v>
      </c>
      <c r="C49" s="361"/>
      <c r="D49" s="361"/>
      <c r="E49" s="361"/>
      <c r="F49" s="362"/>
      <c r="G49" s="256">
        <v>0.19</v>
      </c>
      <c r="H49" s="257">
        <f>+ROUND(((H48*G49*G46)/(1+G47)),0)</f>
        <v>168547832</v>
      </c>
      <c r="I49" s="275"/>
      <c r="J49" s="266">
        <f>+ROUND(((J48*$G$49*I46)/(1+I47)),0)</f>
        <v>168499326</v>
      </c>
      <c r="K49" s="168"/>
      <c r="L49" s="275"/>
      <c r="M49" s="266">
        <f t="shared" ref="M49" si="659">+ROUND(((M48*$G$49*L46)/(1+L47)),0)</f>
        <v>166638432</v>
      </c>
      <c r="N49" s="168"/>
      <c r="O49" s="275"/>
      <c r="P49" s="266">
        <f t="shared" ref="P49" si="660">+ROUND(((P48*$G$49*O46)/(1+O47)),0)</f>
        <v>168323053</v>
      </c>
      <c r="Q49" s="168"/>
      <c r="R49" s="275"/>
      <c r="S49" s="266">
        <f t="shared" ref="S49" si="661">+ROUND(((S48*$G$49*R46)/(1+R47)),0)</f>
        <v>164876229</v>
      </c>
      <c r="T49" s="168"/>
      <c r="U49" s="275"/>
      <c r="V49" s="266">
        <f t="shared" ref="V49" si="662">+ROUND(((V48*$G$49*U46)/(1+U47)),0)</f>
        <v>167214311</v>
      </c>
      <c r="W49" s="168"/>
      <c r="X49" s="275"/>
      <c r="Y49" s="266">
        <f t="shared" ref="Y49" si="663">+ROUND(((Y48*$G$49*X46)/(1+X47)),0)</f>
        <v>167539619</v>
      </c>
      <c r="Z49" s="168"/>
      <c r="AA49" s="275"/>
      <c r="AB49" s="266">
        <f t="shared" ref="AB49" si="664">+ROUND(((AB48*$G$49*AA46)/(1+AA47)),0)</f>
        <v>0</v>
      </c>
      <c r="AC49" s="168"/>
      <c r="AD49" s="275"/>
      <c r="AE49" s="266">
        <f t="shared" ref="AE49" si="665">+ROUND(((AE48*$G$49*AD46)/(1+AD47)),0)</f>
        <v>166272129</v>
      </c>
      <c r="AF49" s="168"/>
      <c r="AG49" s="275"/>
      <c r="AH49" s="266">
        <f t="shared" ref="AH49" si="666">+ROUND(((AH48*$G$49*AG46)/(1+AG47)),0)</f>
        <v>0</v>
      </c>
      <c r="AI49" s="168"/>
      <c r="AJ49" s="275"/>
      <c r="AK49" s="266">
        <f t="shared" ref="AK49" si="667">+ROUND(((AK48*$G$49*AJ46)/(1+AJ47)),0)</f>
        <v>0</v>
      </c>
      <c r="AL49" s="168"/>
      <c r="AM49" s="275"/>
      <c r="AN49" s="266">
        <f t="shared" ref="AN49" si="668">+ROUND(((AN48*$G$49*AM46)/(1+AM47)),0)</f>
        <v>0</v>
      </c>
      <c r="AO49" s="168"/>
      <c r="AP49" s="275"/>
      <c r="AQ49" s="266">
        <f t="shared" ref="AQ49" si="669">+ROUND(((AQ48*$G$49*AP46)/(1+AP47)),0)</f>
        <v>163947302</v>
      </c>
      <c r="AR49" s="168"/>
      <c r="AS49" s="275"/>
      <c r="AT49" s="266">
        <f t="shared" ref="AT49" si="670">+ROUND(((AT48*$G$49*AS46)/(1+AS47)),0)</f>
        <v>167977439</v>
      </c>
      <c r="AU49" s="168"/>
      <c r="AV49" s="275"/>
      <c r="AW49" s="266">
        <f t="shared" ref="AW49" si="671">+ROUND(((AW48*$G$49*AV46)/(1+AV47)),0)</f>
        <v>164057513</v>
      </c>
      <c r="AX49" s="168"/>
      <c r="AY49" s="275"/>
      <c r="AZ49" s="266">
        <f t="shared" ref="AZ49" si="672">+ROUND(((AZ48*$G$49*AY46)/(1+AY47)),0)</f>
        <v>168527516</v>
      </c>
      <c r="BA49" s="168"/>
      <c r="BB49" s="275"/>
      <c r="BC49" s="266">
        <f t="shared" ref="BC49" si="673">+ROUND(((BC48*$G$49*BB46)/(1+BB47)),0)</f>
        <v>167001726</v>
      </c>
      <c r="BD49" s="168"/>
      <c r="BE49" s="275"/>
      <c r="BF49" s="266">
        <f t="shared" ref="BF49" si="674">+ROUND(((BF48*$G$49*BE46)/(1+BE47)),0)</f>
        <v>0</v>
      </c>
      <c r="BG49" s="168"/>
      <c r="BH49" s="275"/>
      <c r="BI49" s="266">
        <f t="shared" ref="BI49" si="675">+ROUND(((BI48*$G$49*BH46)/(1+BH47)),0)</f>
        <v>0</v>
      </c>
      <c r="BJ49" s="168"/>
      <c r="BK49" s="275"/>
      <c r="BL49" s="266">
        <f t="shared" ref="BL49" si="676">+ROUND(((BL48*$G$49*BK46)/(1+BK47)),0)</f>
        <v>166833778</v>
      </c>
      <c r="BM49" s="168"/>
      <c r="BN49" s="275"/>
      <c r="BO49" s="266">
        <f t="shared" ref="BO49" si="677">+ROUND(((BO48*$G$49*BN46)/(1+BN47)),0)</f>
        <v>139033177</v>
      </c>
      <c r="BP49" s="168"/>
      <c r="BQ49" s="275"/>
      <c r="BR49" s="266">
        <f t="shared" ref="BR49" si="678">+ROUND(((BR48*$G$49*BQ46)/(1+BQ47)),0)</f>
        <v>163863791</v>
      </c>
      <c r="BS49" s="168"/>
      <c r="BT49"/>
    </row>
    <row r="50" spans="1:72" s="40" customFormat="1" ht="32.25" customHeight="1" x14ac:dyDescent="0.2">
      <c r="A50" s="39"/>
      <c r="B50" s="251"/>
      <c r="C50" s="252"/>
      <c r="D50" s="253"/>
      <c r="E50" s="252"/>
      <c r="F50" s="254"/>
      <c r="G50" s="254" t="s">
        <v>142</v>
      </c>
      <c r="H50" s="250">
        <f>ROUND(SUM(H48,H49),0)</f>
        <v>19684612541</v>
      </c>
      <c r="I50" s="226"/>
      <c r="J50" s="265">
        <f>ROUND(SUM(J48,J49),0)</f>
        <v>19678947648</v>
      </c>
      <c r="K50" s="168"/>
      <c r="L50" s="226"/>
      <c r="M50" s="265">
        <f t="shared" ref="M50" si="679">ROUND(SUM(M48,M49),0)</f>
        <v>19458691258</v>
      </c>
      <c r="N50" s="168"/>
      <c r="O50" s="226"/>
      <c r="P50" s="265">
        <f t="shared" ref="P50" si="680">ROUND(SUM(P48,P49),0)</f>
        <v>19658360806</v>
      </c>
      <c r="Q50" s="168"/>
      <c r="R50" s="226"/>
      <c r="S50" s="265">
        <f t="shared" ref="S50" si="681">ROUND(SUM(S48,S49),0)</f>
        <v>19255807984</v>
      </c>
      <c r="T50" s="168"/>
      <c r="U50" s="226"/>
      <c r="V50" s="265">
        <f t="shared" ref="V50" si="682">ROUND(SUM(V48,V49),0)</f>
        <v>19528871327</v>
      </c>
      <c r="W50" s="168"/>
      <c r="X50" s="226"/>
      <c r="Y50" s="265">
        <f t="shared" ref="Y50" si="683">ROUND(SUM(Y48,Y49),0)</f>
        <v>19566863910</v>
      </c>
      <c r="Z50" s="168"/>
      <c r="AA50" s="226"/>
      <c r="AB50" s="265">
        <f t="shared" ref="AB50" si="684">ROUND(SUM(AB48,AB49),0)</f>
        <v>0</v>
      </c>
      <c r="AC50" s="168"/>
      <c r="AD50" s="226"/>
      <c r="AE50" s="265">
        <f t="shared" ref="AE50" si="685">ROUND(SUM(AE48,AE49),0)</f>
        <v>19418834382</v>
      </c>
      <c r="AF50" s="168"/>
      <c r="AG50" s="226"/>
      <c r="AH50" s="265">
        <f t="shared" ref="AH50" si="686">ROUND(SUM(AH48,AH49),0)</f>
        <v>0</v>
      </c>
      <c r="AI50" s="168"/>
      <c r="AJ50" s="226"/>
      <c r="AK50" s="265">
        <f t="shared" ref="AK50" si="687">ROUND(SUM(AK48,AK49),0)</f>
        <v>0</v>
      </c>
      <c r="AL50" s="168"/>
      <c r="AM50" s="226"/>
      <c r="AN50" s="265">
        <f t="shared" ref="AN50" si="688">ROUND(SUM(AN48,AN49),0)</f>
        <v>0</v>
      </c>
      <c r="AO50" s="168"/>
      <c r="AP50" s="226"/>
      <c r="AQ50" s="265">
        <f t="shared" ref="AQ50" si="689">ROUND(SUM(AQ48,AQ49),0)</f>
        <v>19147319136</v>
      </c>
      <c r="AR50" s="168"/>
      <c r="AS50" s="226"/>
      <c r="AT50" s="265">
        <f t="shared" ref="AT50" si="690">ROUND(SUM(AT48,AT49),0)</f>
        <v>19617996690</v>
      </c>
      <c r="AU50" s="168"/>
      <c r="AV50" s="226"/>
      <c r="AW50" s="265">
        <f t="shared" ref="AW50" si="691">ROUND(SUM(AW48,AW49),0)</f>
        <v>19160190634</v>
      </c>
      <c r="AX50" s="168"/>
      <c r="AY50" s="226"/>
      <c r="AZ50" s="265">
        <f t="shared" ref="AZ50" si="692">ROUND(SUM(AZ48,AZ49),0)</f>
        <v>19682239919</v>
      </c>
      <c r="BA50" s="168"/>
      <c r="BB50" s="226"/>
      <c r="BC50" s="265">
        <f t="shared" ref="BC50" si="693">ROUND(SUM(BC48,BC49),0)</f>
        <v>19504043660</v>
      </c>
      <c r="BD50" s="168"/>
      <c r="BE50" s="226"/>
      <c r="BF50" s="265">
        <f t="shared" ref="BF50" si="694">ROUND(SUM(BF48,BF49),0)</f>
        <v>0</v>
      </c>
      <c r="BG50" s="168"/>
      <c r="BH50" s="226"/>
      <c r="BI50" s="265">
        <f t="shared" ref="BI50" si="695">ROUND(SUM(BI48,BI49),0)</f>
        <v>0</v>
      </c>
      <c r="BJ50" s="168"/>
      <c r="BK50" s="226"/>
      <c r="BL50" s="265">
        <f t="shared" ref="BL50" si="696">ROUND(SUM(BL48,BL49),0)</f>
        <v>19484429091</v>
      </c>
      <c r="BM50" s="168"/>
      <c r="BN50" s="226"/>
      <c r="BO50" s="265">
        <f t="shared" ref="BO50" si="697">ROUND(SUM(BO48,BO49),0)</f>
        <v>19457327286</v>
      </c>
      <c r="BP50" s="168"/>
      <c r="BQ50" s="226"/>
      <c r="BR50" s="265">
        <f t="shared" ref="BR50" si="698">ROUND(SUM(BR48,BR49),0)</f>
        <v>19137565858</v>
      </c>
      <c r="BS50" s="168"/>
      <c r="BT50"/>
    </row>
    <row r="51" spans="1:72" s="40" customFormat="1" ht="36.75" customHeight="1" x14ac:dyDescent="0.2">
      <c r="A51" s="39"/>
      <c r="B51" s="357" t="s">
        <v>143</v>
      </c>
      <c r="C51" s="358"/>
      <c r="D51" s="358"/>
      <c r="E51" s="358"/>
      <c r="F51" s="358"/>
      <c r="G51" s="359"/>
      <c r="H51" s="238">
        <v>325000000</v>
      </c>
      <c r="I51" s="200" t="s">
        <v>90</v>
      </c>
      <c r="J51" s="222">
        <v>325000000</v>
      </c>
      <c r="K51" s="164" t="str">
        <f>+IF(J51&gt;0,IF(J51&lt;&gt;$H51,"NO VÁLIDA","VÁLIDA"),"NO VÁLIDA")</f>
        <v>VÁLIDA</v>
      </c>
      <c r="L51" s="200" t="s">
        <v>90</v>
      </c>
      <c r="M51" s="222">
        <v>325000000</v>
      </c>
      <c r="N51" s="164" t="str">
        <f t="shared" ref="N51" si="699">+IF(M51&gt;0,IF(M51&lt;&gt;$H51,"NO VÁLIDA","VÁLIDA"),"NO VÁLIDA")</f>
        <v>VÁLIDA</v>
      </c>
      <c r="O51" s="200" t="s">
        <v>90</v>
      </c>
      <c r="P51" s="222">
        <v>325000000</v>
      </c>
      <c r="Q51" s="164" t="str">
        <f t="shared" ref="Q51" si="700">+IF(P51&gt;0,IF(P51&lt;&gt;$H51,"NO VÁLIDA","VÁLIDA"),"NO VÁLIDA")</f>
        <v>VÁLIDA</v>
      </c>
      <c r="R51" s="200" t="s">
        <v>90</v>
      </c>
      <c r="S51" s="222">
        <v>325000000</v>
      </c>
      <c r="T51" s="164" t="str">
        <f t="shared" ref="T51" si="701">+IF(S51&gt;0,IF(S51&lt;&gt;$H51,"NO VÁLIDA","VÁLIDA"),"NO VÁLIDA")</f>
        <v>VÁLIDA</v>
      </c>
      <c r="U51" s="200" t="s">
        <v>90</v>
      </c>
      <c r="V51" s="222">
        <v>325000000</v>
      </c>
      <c r="W51" s="164" t="str">
        <f t="shared" ref="W51" si="702">+IF(V51&gt;0,IF(V51&lt;&gt;$H51,"NO VÁLIDA","VÁLIDA"),"NO VÁLIDA")</f>
        <v>VÁLIDA</v>
      </c>
      <c r="X51" s="200" t="s">
        <v>90</v>
      </c>
      <c r="Y51" s="222">
        <v>325000000</v>
      </c>
      <c r="Z51" s="164" t="str">
        <f t="shared" ref="Z51" si="703">+IF(Y51&gt;0,IF(Y51&lt;&gt;$H51,"NO VÁLIDA","VÁLIDA"),"NO VÁLIDA")</f>
        <v>VÁLIDA</v>
      </c>
      <c r="AA51" s="200" t="s">
        <v>90</v>
      </c>
      <c r="AB51" s="222"/>
      <c r="AC51" s="164" t="str">
        <f t="shared" ref="AC51" si="704">+IF(AB51&gt;0,IF(AB51&lt;&gt;$H51,"NO VÁLIDA","VÁLIDA"),"NO VÁLIDA")</f>
        <v>NO VÁLIDA</v>
      </c>
      <c r="AD51" s="200" t="s">
        <v>90</v>
      </c>
      <c r="AE51" s="222">
        <v>325000000</v>
      </c>
      <c r="AF51" s="164" t="str">
        <f t="shared" ref="AF51" si="705">+IF(AE51&gt;0,IF(AE51&lt;&gt;$H51,"NO VÁLIDA","VÁLIDA"),"NO VÁLIDA")</f>
        <v>VÁLIDA</v>
      </c>
      <c r="AG51" s="200" t="s">
        <v>90</v>
      </c>
      <c r="AH51" s="222"/>
      <c r="AI51" s="164" t="str">
        <f t="shared" ref="AI51" si="706">+IF(AH51&gt;0,IF(AH51&lt;&gt;$H51,"NO VÁLIDA","VÁLIDA"),"NO VÁLIDA")</f>
        <v>NO VÁLIDA</v>
      </c>
      <c r="AJ51" s="200" t="s">
        <v>90</v>
      </c>
      <c r="AK51" s="222"/>
      <c r="AL51" s="164" t="str">
        <f t="shared" ref="AL51" si="707">+IF(AK51&gt;0,IF(AK51&lt;&gt;$H51,"NO VÁLIDA","VÁLIDA"),"NO VÁLIDA")</f>
        <v>NO VÁLIDA</v>
      </c>
      <c r="AM51" s="200" t="s">
        <v>90</v>
      </c>
      <c r="AN51" s="222"/>
      <c r="AO51" s="164" t="str">
        <f t="shared" ref="AO51" si="708">+IF(AN51&gt;0,IF(AN51&lt;&gt;$H51,"NO VÁLIDA","VÁLIDA"),"NO VÁLIDA")</f>
        <v>NO VÁLIDA</v>
      </c>
      <c r="AP51" s="200" t="s">
        <v>90</v>
      </c>
      <c r="AQ51" s="222">
        <v>325000000</v>
      </c>
      <c r="AR51" s="164" t="str">
        <f t="shared" ref="AR51" si="709">+IF(AQ51&gt;0,IF(AQ51&lt;&gt;$H51,"NO VÁLIDA","VÁLIDA"),"NO VÁLIDA")</f>
        <v>VÁLIDA</v>
      </c>
      <c r="AS51" s="200" t="s">
        <v>90</v>
      </c>
      <c r="AT51" s="222">
        <v>325000000</v>
      </c>
      <c r="AU51" s="164" t="str">
        <f t="shared" ref="AU51" si="710">+IF(AT51&gt;0,IF(AT51&lt;&gt;$H51,"NO VÁLIDA","VÁLIDA"),"NO VÁLIDA")</f>
        <v>VÁLIDA</v>
      </c>
      <c r="AV51" s="200" t="s">
        <v>90</v>
      </c>
      <c r="AW51" s="222">
        <v>325000000</v>
      </c>
      <c r="AX51" s="164" t="str">
        <f t="shared" ref="AX51" si="711">+IF(AW51&gt;0,IF(AW51&lt;&gt;$H51,"NO VÁLIDA","VÁLIDA"),"NO VÁLIDA")</f>
        <v>VÁLIDA</v>
      </c>
      <c r="AY51" s="200" t="s">
        <v>90</v>
      </c>
      <c r="AZ51" s="222">
        <v>325000000</v>
      </c>
      <c r="BA51" s="164" t="str">
        <f t="shared" ref="BA51" si="712">+IF(AZ51&gt;0,IF(AZ51&lt;&gt;$H51,"NO VÁLIDA","VÁLIDA"),"NO VÁLIDA")</f>
        <v>VÁLIDA</v>
      </c>
      <c r="BB51" s="200" t="s">
        <v>90</v>
      </c>
      <c r="BC51" s="222">
        <v>325000000</v>
      </c>
      <c r="BD51" s="164" t="str">
        <f t="shared" ref="BD51" si="713">+IF(BC51&gt;0,IF(BC51&lt;&gt;$H51,"NO VÁLIDA","VÁLIDA"),"NO VÁLIDA")</f>
        <v>VÁLIDA</v>
      </c>
      <c r="BE51" s="200" t="s">
        <v>90</v>
      </c>
      <c r="BF51" s="222"/>
      <c r="BG51" s="164" t="str">
        <f t="shared" ref="BG51" si="714">+IF(BF51&gt;0,IF(BF51&lt;&gt;$H51,"NO VÁLIDA","VÁLIDA"),"NO VÁLIDA")</f>
        <v>NO VÁLIDA</v>
      </c>
      <c r="BH51" s="200" t="s">
        <v>90</v>
      </c>
      <c r="BI51" s="222"/>
      <c r="BJ51" s="164" t="str">
        <f t="shared" ref="BJ51" si="715">+IF(BI51&gt;0,IF(BI51&lt;&gt;$H51,"NO VÁLIDA","VÁLIDA"),"NO VÁLIDA")</f>
        <v>NO VÁLIDA</v>
      </c>
      <c r="BK51" s="200" t="s">
        <v>90</v>
      </c>
      <c r="BL51" s="222">
        <v>325000000</v>
      </c>
      <c r="BM51" s="164" t="str">
        <f t="shared" ref="BM51" si="716">+IF(BL51&gt;0,IF(BL51&lt;&gt;$H51,"NO VÁLIDA","VÁLIDA"),"NO VÁLIDA")</f>
        <v>VÁLIDA</v>
      </c>
      <c r="BN51" s="200" t="s">
        <v>90</v>
      </c>
      <c r="BO51" s="222">
        <v>325000000</v>
      </c>
      <c r="BP51" s="164" t="str">
        <f t="shared" ref="BP51" si="717">+IF(BO51&gt;0,IF(BO51&lt;&gt;$H51,"NO VÁLIDA","VÁLIDA"),"NO VÁLIDA")</f>
        <v>VÁLIDA</v>
      </c>
      <c r="BQ51" s="200" t="s">
        <v>90</v>
      </c>
      <c r="BR51" s="222">
        <v>325000000</v>
      </c>
      <c r="BS51" s="164" t="str">
        <f t="shared" ref="BS51" si="718">+IF(BR51&gt;0,IF(BR51&lt;&gt;$H51,"NO VÁLIDA","VÁLIDA"),"NO VÁLIDA")</f>
        <v>VÁLIDA</v>
      </c>
      <c r="BT51"/>
    </row>
    <row r="52" spans="1:72" s="40" customFormat="1" ht="36.75" customHeight="1" thickBot="1" x14ac:dyDescent="0.25">
      <c r="A52" s="39"/>
      <c r="B52" s="357" t="s">
        <v>144</v>
      </c>
      <c r="C52" s="358"/>
      <c r="D52" s="358"/>
      <c r="E52" s="358"/>
      <c r="F52" s="358"/>
      <c r="G52" s="359"/>
      <c r="H52" s="238">
        <v>858706850</v>
      </c>
      <c r="I52" s="200" t="s">
        <v>90</v>
      </c>
      <c r="J52" s="222">
        <v>858706850</v>
      </c>
      <c r="K52" s="164" t="str">
        <f>+IF(J52&gt;0,IF(J52&lt;&gt;$H52,"NO VÁLIDA","VÁLIDA"),"NO VÁLIDA")</f>
        <v>VÁLIDA</v>
      </c>
      <c r="L52" s="200" t="s">
        <v>90</v>
      </c>
      <c r="M52" s="222">
        <v>858706850</v>
      </c>
      <c r="N52" s="164" t="str">
        <f t="shared" ref="N52" si="719">+IF(M52&gt;0,IF(M52&lt;&gt;$H52,"NO VÁLIDA","VÁLIDA"),"NO VÁLIDA")</f>
        <v>VÁLIDA</v>
      </c>
      <c r="O52" s="200" t="s">
        <v>90</v>
      </c>
      <c r="P52" s="222">
        <v>858706850</v>
      </c>
      <c r="Q52" s="164" t="str">
        <f t="shared" ref="Q52" si="720">+IF(P52&gt;0,IF(P52&lt;&gt;$H52,"NO VÁLIDA","VÁLIDA"),"NO VÁLIDA")</f>
        <v>VÁLIDA</v>
      </c>
      <c r="R52" s="200" t="s">
        <v>90</v>
      </c>
      <c r="S52" s="222">
        <v>858706850</v>
      </c>
      <c r="T52" s="164" t="str">
        <f t="shared" ref="T52" si="721">+IF(S52&gt;0,IF(S52&lt;&gt;$H52,"NO VÁLIDA","VÁLIDA"),"NO VÁLIDA")</f>
        <v>VÁLIDA</v>
      </c>
      <c r="U52" s="200" t="s">
        <v>90</v>
      </c>
      <c r="V52" s="222">
        <v>858706850</v>
      </c>
      <c r="W52" s="164" t="str">
        <f t="shared" ref="W52" si="722">+IF(V52&gt;0,IF(V52&lt;&gt;$H52,"NO VÁLIDA","VÁLIDA"),"NO VÁLIDA")</f>
        <v>VÁLIDA</v>
      </c>
      <c r="X52" s="200" t="s">
        <v>90</v>
      </c>
      <c r="Y52" s="222">
        <v>858706850</v>
      </c>
      <c r="Z52" s="164" t="str">
        <f t="shared" ref="Z52" si="723">+IF(Y52&gt;0,IF(Y52&lt;&gt;$H52,"NO VÁLIDA","VÁLIDA"),"NO VÁLIDA")</f>
        <v>VÁLIDA</v>
      </c>
      <c r="AA52" s="200" t="s">
        <v>90</v>
      </c>
      <c r="AB52" s="222"/>
      <c r="AC52" s="164" t="str">
        <f t="shared" ref="AC52" si="724">+IF(AB52&gt;0,IF(AB52&lt;&gt;$H52,"NO VÁLIDA","VÁLIDA"),"NO VÁLIDA")</f>
        <v>NO VÁLIDA</v>
      </c>
      <c r="AD52" s="200" t="s">
        <v>90</v>
      </c>
      <c r="AE52" s="222">
        <v>858706850</v>
      </c>
      <c r="AF52" s="164" t="str">
        <f t="shared" ref="AF52" si="725">+IF(AE52&gt;0,IF(AE52&lt;&gt;$H52,"NO VÁLIDA","VÁLIDA"),"NO VÁLIDA")</f>
        <v>VÁLIDA</v>
      </c>
      <c r="AG52" s="200" t="s">
        <v>90</v>
      </c>
      <c r="AH52" s="222"/>
      <c r="AI52" s="164" t="str">
        <f t="shared" ref="AI52" si="726">+IF(AH52&gt;0,IF(AH52&lt;&gt;$H52,"NO VÁLIDA","VÁLIDA"),"NO VÁLIDA")</f>
        <v>NO VÁLIDA</v>
      </c>
      <c r="AJ52" s="200" t="s">
        <v>90</v>
      </c>
      <c r="AK52" s="222"/>
      <c r="AL52" s="164" t="str">
        <f t="shared" ref="AL52" si="727">+IF(AK52&gt;0,IF(AK52&lt;&gt;$H52,"NO VÁLIDA","VÁLIDA"),"NO VÁLIDA")</f>
        <v>NO VÁLIDA</v>
      </c>
      <c r="AM52" s="200" t="s">
        <v>90</v>
      </c>
      <c r="AN52" s="222"/>
      <c r="AO52" s="164" t="str">
        <f t="shared" ref="AO52" si="728">+IF(AN52&gt;0,IF(AN52&lt;&gt;$H52,"NO VÁLIDA","VÁLIDA"),"NO VÁLIDA")</f>
        <v>NO VÁLIDA</v>
      </c>
      <c r="AP52" s="200" t="s">
        <v>90</v>
      </c>
      <c r="AQ52" s="222">
        <v>858706850</v>
      </c>
      <c r="AR52" s="164" t="str">
        <f t="shared" ref="AR52" si="729">+IF(AQ52&gt;0,IF(AQ52&lt;&gt;$H52,"NO VÁLIDA","VÁLIDA"),"NO VÁLIDA")</f>
        <v>VÁLIDA</v>
      </c>
      <c r="AS52" s="200" t="s">
        <v>90</v>
      </c>
      <c r="AT52" s="222">
        <v>858706850</v>
      </c>
      <c r="AU52" s="164" t="str">
        <f t="shared" ref="AU52" si="730">+IF(AT52&gt;0,IF(AT52&lt;&gt;$H52,"NO VÁLIDA","VÁLIDA"),"NO VÁLIDA")</f>
        <v>VÁLIDA</v>
      </c>
      <c r="AV52" s="200" t="s">
        <v>90</v>
      </c>
      <c r="AW52" s="222">
        <v>858706850</v>
      </c>
      <c r="AX52" s="164" t="str">
        <f t="shared" ref="AX52" si="731">+IF(AW52&gt;0,IF(AW52&lt;&gt;$H52,"NO VÁLIDA","VÁLIDA"),"NO VÁLIDA")</f>
        <v>VÁLIDA</v>
      </c>
      <c r="AY52" s="200" t="s">
        <v>90</v>
      </c>
      <c r="AZ52" s="222">
        <v>858706850</v>
      </c>
      <c r="BA52" s="164" t="str">
        <f t="shared" ref="BA52" si="732">+IF(AZ52&gt;0,IF(AZ52&lt;&gt;$H52,"NO VÁLIDA","VÁLIDA"),"NO VÁLIDA")</f>
        <v>VÁLIDA</v>
      </c>
      <c r="BB52" s="200" t="s">
        <v>90</v>
      </c>
      <c r="BC52" s="222">
        <v>858706850</v>
      </c>
      <c r="BD52" s="164" t="str">
        <f t="shared" ref="BD52" si="733">+IF(BC52&gt;0,IF(BC52&lt;&gt;$H52,"NO VÁLIDA","VÁLIDA"),"NO VÁLIDA")</f>
        <v>VÁLIDA</v>
      </c>
      <c r="BE52" s="200" t="s">
        <v>90</v>
      </c>
      <c r="BF52" s="222"/>
      <c r="BG52" s="164" t="str">
        <f t="shared" ref="BG52" si="734">+IF(BF52&gt;0,IF(BF52&lt;&gt;$H52,"NO VÁLIDA","VÁLIDA"),"NO VÁLIDA")</f>
        <v>NO VÁLIDA</v>
      </c>
      <c r="BH52" s="200" t="s">
        <v>90</v>
      </c>
      <c r="BI52" s="222"/>
      <c r="BJ52" s="164" t="str">
        <f t="shared" ref="BJ52" si="735">+IF(BI52&gt;0,IF(BI52&lt;&gt;$H52,"NO VÁLIDA","VÁLIDA"),"NO VÁLIDA")</f>
        <v>NO VÁLIDA</v>
      </c>
      <c r="BK52" s="200" t="s">
        <v>90</v>
      </c>
      <c r="BL52" s="222">
        <v>858706850</v>
      </c>
      <c r="BM52" s="164" t="str">
        <f t="shared" ref="BM52" si="736">+IF(BL52&gt;0,IF(BL52&lt;&gt;$H52,"NO VÁLIDA","VÁLIDA"),"NO VÁLIDA")</f>
        <v>VÁLIDA</v>
      </c>
      <c r="BN52" s="200" t="s">
        <v>90</v>
      </c>
      <c r="BO52" s="222">
        <v>858706850</v>
      </c>
      <c r="BP52" s="164" t="str">
        <f t="shared" ref="BP52" si="737">+IF(BO52&gt;0,IF(BO52&lt;&gt;$H52,"NO VÁLIDA","VÁLIDA"),"NO VÁLIDA")</f>
        <v>VÁLIDA</v>
      </c>
      <c r="BQ52" s="200" t="s">
        <v>90</v>
      </c>
      <c r="BR52" s="222">
        <v>858706850</v>
      </c>
      <c r="BS52" s="164" t="str">
        <f t="shared" ref="BS52" si="738">+IF(BR52&gt;0,IF(BR52&lt;&gt;$H52,"NO VÁLIDA","VÁLIDA"),"NO VÁLIDA")</f>
        <v>VÁLIDA</v>
      </c>
      <c r="BT52"/>
    </row>
    <row r="53" spans="1:72" s="231" customFormat="1" ht="36.75" customHeight="1" thickBot="1" x14ac:dyDescent="0.25">
      <c r="A53" s="227"/>
      <c r="B53" s="258"/>
      <c r="C53" s="259"/>
      <c r="D53" s="260"/>
      <c r="E53" s="259"/>
      <c r="F53" s="261"/>
      <c r="G53" s="261" t="s">
        <v>145</v>
      </c>
      <c r="H53" s="262">
        <f>ROUND(SUM(H50:H52),0)</f>
        <v>20868319391</v>
      </c>
      <c r="I53" s="228"/>
      <c r="J53" s="267">
        <f>ROUND(SUM(J50:J52),0)</f>
        <v>20862654498</v>
      </c>
      <c r="K53" s="229"/>
      <c r="L53" s="228"/>
      <c r="M53" s="267">
        <f t="shared" ref="M53" si="739">ROUND(SUM(M50:M52),0)</f>
        <v>20642398108</v>
      </c>
      <c r="N53" s="229"/>
      <c r="O53" s="228"/>
      <c r="P53" s="267">
        <f t="shared" ref="P53" si="740">ROUND(SUM(P50:P52),0)</f>
        <v>20842067656</v>
      </c>
      <c r="Q53" s="229"/>
      <c r="R53" s="228"/>
      <c r="S53" s="267">
        <f t="shared" ref="S53" si="741">ROUND(SUM(S50:S52),0)</f>
        <v>20439514834</v>
      </c>
      <c r="T53" s="229"/>
      <c r="U53" s="228"/>
      <c r="V53" s="267">
        <f t="shared" ref="V53" si="742">ROUND(SUM(V50:V52),0)</f>
        <v>20712578177</v>
      </c>
      <c r="W53" s="229"/>
      <c r="X53" s="228"/>
      <c r="Y53" s="267">
        <f t="shared" ref="Y53" si="743">ROUND(SUM(Y50:Y52),0)</f>
        <v>20750570760</v>
      </c>
      <c r="Z53" s="229"/>
      <c r="AA53" s="228"/>
      <c r="AB53" s="267">
        <f t="shared" ref="AB53" si="744">ROUND(SUM(AB50:AB52),0)</f>
        <v>0</v>
      </c>
      <c r="AC53" s="229"/>
      <c r="AD53" s="228"/>
      <c r="AE53" s="267">
        <f t="shared" ref="AE53" si="745">ROUND(SUM(AE50:AE52),0)</f>
        <v>20602541232</v>
      </c>
      <c r="AF53" s="229"/>
      <c r="AG53" s="228"/>
      <c r="AH53" s="267">
        <f t="shared" ref="AH53" si="746">ROUND(SUM(AH50:AH52),0)</f>
        <v>0</v>
      </c>
      <c r="AI53" s="229"/>
      <c r="AJ53" s="228"/>
      <c r="AK53" s="267">
        <f t="shared" ref="AK53" si="747">ROUND(SUM(AK50:AK52),0)</f>
        <v>0</v>
      </c>
      <c r="AL53" s="229"/>
      <c r="AM53" s="228"/>
      <c r="AN53" s="267">
        <f t="shared" ref="AN53" si="748">ROUND(SUM(AN50:AN52),0)</f>
        <v>0</v>
      </c>
      <c r="AO53" s="229"/>
      <c r="AP53" s="228"/>
      <c r="AQ53" s="267">
        <f t="shared" ref="AQ53" si="749">ROUND(SUM(AQ50:AQ52),0)</f>
        <v>20331025986</v>
      </c>
      <c r="AR53" s="229"/>
      <c r="AS53" s="228"/>
      <c r="AT53" s="267">
        <f t="shared" ref="AT53" si="750">ROUND(SUM(AT50:AT52),0)</f>
        <v>20801703540</v>
      </c>
      <c r="AU53" s="229"/>
      <c r="AV53" s="228"/>
      <c r="AW53" s="267">
        <f t="shared" ref="AW53" si="751">ROUND(SUM(AW50:AW52),0)</f>
        <v>20343897484</v>
      </c>
      <c r="AX53" s="229"/>
      <c r="AY53" s="228"/>
      <c r="AZ53" s="267">
        <f t="shared" ref="AZ53" si="752">ROUND(SUM(AZ50:AZ52),0)</f>
        <v>20865946769</v>
      </c>
      <c r="BA53" s="229"/>
      <c r="BB53" s="228"/>
      <c r="BC53" s="267">
        <f t="shared" ref="BC53" si="753">ROUND(SUM(BC50:BC52),0)</f>
        <v>20687750510</v>
      </c>
      <c r="BD53" s="229"/>
      <c r="BE53" s="228"/>
      <c r="BF53" s="267">
        <f t="shared" ref="BF53" si="754">ROUND(SUM(BF50:BF52),0)</f>
        <v>0</v>
      </c>
      <c r="BG53" s="229"/>
      <c r="BH53" s="228"/>
      <c r="BI53" s="267">
        <f t="shared" ref="BI53" si="755">ROUND(SUM(BI50:BI52),0)</f>
        <v>0</v>
      </c>
      <c r="BJ53" s="229"/>
      <c r="BK53" s="228"/>
      <c r="BL53" s="267">
        <f t="shared" ref="BL53" si="756">ROUND(SUM(BL50:BL52),0)</f>
        <v>20668135941</v>
      </c>
      <c r="BM53" s="229"/>
      <c r="BN53" s="228"/>
      <c r="BO53" s="267">
        <f t="shared" ref="BO53" si="757">ROUND(SUM(BO50:BO52),0)</f>
        <v>20641034136</v>
      </c>
      <c r="BP53" s="229"/>
      <c r="BQ53" s="228"/>
      <c r="BR53" s="267">
        <f t="shared" ref="BR53" si="758">ROUND(SUM(BR50:BR52),0)</f>
        <v>20321272708</v>
      </c>
      <c r="BS53" s="229"/>
      <c r="BT53" s="230"/>
    </row>
    <row r="54" spans="1:72" s="40" customFormat="1" ht="36.75" customHeight="1" thickBot="1" x14ac:dyDescent="0.25">
      <c r="A54" s="39"/>
      <c r="B54" s="232" t="s">
        <v>134</v>
      </c>
      <c r="C54" s="169"/>
      <c r="D54" s="80"/>
      <c r="E54" s="170"/>
      <c r="F54" s="81"/>
      <c r="G54" s="81"/>
      <c r="H54" s="79">
        <f>ROUND(H53,0)</f>
        <v>20868319391</v>
      </c>
      <c r="I54" s="171"/>
      <c r="J54" s="172">
        <f>IF(I10="ADMISIBLE",IF(AND(K54="VÁLIDA",J53&lt;=$H$54,I56="",J53&gt;=$H$54*0.9),J53,"DESCARTADO"),I10)</f>
        <v>20862654498</v>
      </c>
      <c r="K54" s="164" t="str">
        <f>IF(COUNTIF(K15:K52,"NO VÁLIDA")&gt;0,"NO VÁLIDA","VÁLIDA")</f>
        <v>VÁLIDA</v>
      </c>
      <c r="L54" s="171"/>
      <c r="M54" s="172" t="str">
        <f t="shared" ref="M54" si="759">IF(L10="ADMISIBLE",IF(AND(N54="VÁLIDA",M53&lt;=$H$54,L56="",M53&gt;=$H$54*0.9),M53,"DESCARTADO"),L10)</f>
        <v>DESCARTADO</v>
      </c>
      <c r="N54" s="164" t="str">
        <f t="shared" ref="N54" si="760">IF(COUNTIF(N15:N52,"NO VÁLIDA")&gt;0,"NO VÁLIDA","VÁLIDA")</f>
        <v>NO VÁLIDA</v>
      </c>
      <c r="O54" s="171"/>
      <c r="P54" s="172">
        <f t="shared" ref="P54" si="761">IF(O10="ADMISIBLE",IF(AND(Q54="VÁLIDA",P53&lt;=$H$54,O56="",P53&gt;=$H$54*0.9),P53,"DESCARTADO"),O10)</f>
        <v>20842067656</v>
      </c>
      <c r="Q54" s="164" t="str">
        <f t="shared" ref="Q54" si="762">IF(COUNTIF(Q15:Q52,"NO VÁLIDA")&gt;0,"NO VÁLIDA","VÁLIDA")</f>
        <v>VÁLIDA</v>
      </c>
      <c r="R54" s="171"/>
      <c r="S54" s="172">
        <f t="shared" ref="S54" si="763">IF(R10="ADMISIBLE",IF(AND(T54="VÁLIDA",S53&lt;=$H$54,R56="",S53&gt;=$H$54*0.9),S53,"DESCARTADO"),R10)</f>
        <v>20439514834</v>
      </c>
      <c r="T54" s="164" t="str">
        <f t="shared" ref="T54" si="764">IF(COUNTIF(T15:T52,"NO VÁLIDA")&gt;0,"NO VÁLIDA","VÁLIDA")</f>
        <v>VÁLIDA</v>
      </c>
      <c r="U54" s="171"/>
      <c r="V54" s="172">
        <f t="shared" ref="V54" si="765">IF(U10="ADMISIBLE",IF(AND(W54="VÁLIDA",V53&lt;=$H$54,U56="",V53&gt;=$H$54*0.9),V53,"DESCARTADO"),U10)</f>
        <v>20712578177</v>
      </c>
      <c r="W54" s="164" t="str">
        <f t="shared" ref="W54" si="766">IF(COUNTIF(W15:W52,"NO VÁLIDA")&gt;0,"NO VÁLIDA","VÁLIDA")</f>
        <v>VÁLIDA</v>
      </c>
      <c r="X54" s="171"/>
      <c r="Y54" s="172">
        <f t="shared" ref="Y54" si="767">IF(X10="ADMISIBLE",IF(AND(Z54="VÁLIDA",Y53&lt;=$H$54,X56="",Y53&gt;=$H$54*0.9),Y53,"DESCARTADO"),X10)</f>
        <v>20750570760</v>
      </c>
      <c r="Z54" s="164" t="str">
        <f t="shared" ref="Z54" si="768">IF(COUNTIF(Z15:Z52,"NO VÁLIDA")&gt;0,"NO VÁLIDA","VÁLIDA")</f>
        <v>VÁLIDA</v>
      </c>
      <c r="AA54" s="171"/>
      <c r="AB54" s="172" t="str">
        <f t="shared" ref="AB54" si="769">IF(AA10="ADMISIBLE",IF(AND(AC54="VÁLIDA",AB53&lt;=$H$54,AA56="",AB53&gt;=$H$54*0.9),AB53,"DESCARTADO"),AA10)</f>
        <v>RECHAZO</v>
      </c>
      <c r="AC54" s="164" t="str">
        <f t="shared" ref="AC54" si="770">IF(COUNTIF(AC15:AC52,"NO VÁLIDA")&gt;0,"NO VÁLIDA","VÁLIDA")</f>
        <v>NO VÁLIDA</v>
      </c>
      <c r="AD54" s="171"/>
      <c r="AE54" s="172">
        <f t="shared" ref="AE54" si="771">IF(AD10="ADMISIBLE",IF(AND(AF54="VÁLIDA",AE53&lt;=$H$54,AD56="",AE53&gt;=$H$54*0.9),AE53,"DESCARTADO"),AD10)</f>
        <v>20602541232</v>
      </c>
      <c r="AF54" s="164" t="str">
        <f t="shared" ref="AF54" si="772">IF(COUNTIF(AF15:AF52,"NO VÁLIDA")&gt;0,"NO VÁLIDA","VÁLIDA")</f>
        <v>VÁLIDA</v>
      </c>
      <c r="AG54" s="171"/>
      <c r="AH54" s="172" t="str">
        <f t="shared" ref="AH54" si="773">IF(AG10="ADMISIBLE",IF(AND(AI54="VÁLIDA",AH53&lt;=$H$54,AG56="",AH53&gt;=$H$54*0.9),AH53,"DESCARTADO"),AG10)</f>
        <v>RECHAZO</v>
      </c>
      <c r="AI54" s="164" t="str">
        <f t="shared" ref="AI54" si="774">IF(COUNTIF(AI15:AI52,"NO VÁLIDA")&gt;0,"NO VÁLIDA","VÁLIDA")</f>
        <v>NO VÁLIDA</v>
      </c>
      <c r="AJ54" s="171"/>
      <c r="AK54" s="172" t="str">
        <f t="shared" ref="AK54" si="775">IF(AJ10="ADMISIBLE",IF(AND(AL54="VÁLIDA",AK53&lt;=$H$54,AJ56="",AK53&gt;=$H$54*0.9),AK53,"DESCARTADO"),AJ10)</f>
        <v>RECHAZO</v>
      </c>
      <c r="AL54" s="164" t="str">
        <f t="shared" ref="AL54" si="776">IF(COUNTIF(AL15:AL52,"NO VÁLIDA")&gt;0,"NO VÁLIDA","VÁLIDA")</f>
        <v>NO VÁLIDA</v>
      </c>
      <c r="AM54" s="171"/>
      <c r="AN54" s="172" t="str">
        <f t="shared" ref="AN54" si="777">IF(AM10="ADMISIBLE",IF(AND(AO54="VÁLIDA",AN53&lt;=$H$54,AM56="",AN53&gt;=$H$54*0.9),AN53,"DESCARTADO"),AM10)</f>
        <v>RECHAZO</v>
      </c>
      <c r="AO54" s="164" t="str">
        <f t="shared" ref="AO54" si="778">IF(COUNTIF(AO15:AO52,"NO VÁLIDA")&gt;0,"NO VÁLIDA","VÁLIDA")</f>
        <v>NO VÁLIDA</v>
      </c>
      <c r="AP54" s="171"/>
      <c r="AQ54" s="172" t="str">
        <f t="shared" ref="AQ54" si="779">IF(AP10="ADMISIBLE",IF(AND(AR54="VÁLIDA",AQ53&lt;=$H$54,AP56="",AQ53&gt;=$H$54*0.9),AQ53,"DESCARTADO"),AP10)</f>
        <v>DESCARTADO</v>
      </c>
      <c r="AR54" s="164" t="str">
        <f t="shared" ref="AR54" si="780">IF(COUNTIF(AR15:AR52,"NO VÁLIDA")&gt;0,"NO VÁLIDA","VÁLIDA")</f>
        <v>NO VÁLIDA</v>
      </c>
      <c r="AS54" s="171"/>
      <c r="AT54" s="172">
        <f t="shared" ref="AT54" si="781">IF(AS10="ADMISIBLE",IF(AND(AU54="VÁLIDA",AT53&lt;=$H$54,AS56="",AT53&gt;=$H$54*0.9),AT53,"DESCARTADO"),AS10)</f>
        <v>20801703540</v>
      </c>
      <c r="AU54" s="164" t="str">
        <f t="shared" ref="AU54" si="782">IF(COUNTIF(AU15:AU52,"NO VÁLIDA")&gt;0,"NO VÁLIDA","VÁLIDA")</f>
        <v>VÁLIDA</v>
      </c>
      <c r="AV54" s="171"/>
      <c r="AW54" s="172">
        <f t="shared" ref="AW54" si="783">IF(AV10="ADMISIBLE",IF(AND(AX54="VÁLIDA",AW53&lt;=$H$54,AV56="",AW53&gt;=$H$54*0.9),AW53,"DESCARTADO"),AV10)</f>
        <v>20343897484</v>
      </c>
      <c r="AX54" s="164" t="str">
        <f t="shared" ref="AX54" si="784">IF(COUNTIF(AX15:AX52,"NO VÁLIDA")&gt;0,"NO VÁLIDA","VÁLIDA")</f>
        <v>VÁLIDA</v>
      </c>
      <c r="AY54" s="171"/>
      <c r="AZ54" s="172">
        <f t="shared" ref="AZ54" si="785">IF(AY10="ADMISIBLE",IF(AND(BA54="VÁLIDA",AZ53&lt;=$H$54,AY56="",AZ53&gt;=$H$54*0.9),AZ53,"DESCARTADO"),AY10)</f>
        <v>20865946769</v>
      </c>
      <c r="BA54" s="164" t="str">
        <f t="shared" ref="BA54" si="786">IF(COUNTIF(BA15:BA52,"NO VÁLIDA")&gt;0,"NO VÁLIDA","VÁLIDA")</f>
        <v>VÁLIDA</v>
      </c>
      <c r="BB54" s="171"/>
      <c r="BC54" s="172" t="str">
        <f t="shared" ref="BC54" si="787">IF(BB10="ADMISIBLE",IF(AND(BD54="VÁLIDA",BC53&lt;=$H$54,BB56="",BC53&gt;=$H$54*0.9),BC53,"DESCARTADO"),BB10)</f>
        <v>DESCARTADO</v>
      </c>
      <c r="BD54" s="164" t="str">
        <f t="shared" ref="BD54" si="788">IF(COUNTIF(BD15:BD52,"NO VÁLIDA")&gt;0,"NO VÁLIDA","VÁLIDA")</f>
        <v>NO VÁLIDA</v>
      </c>
      <c r="BE54" s="171"/>
      <c r="BF54" s="172" t="str">
        <f t="shared" ref="BF54" si="789">IF(BE10="ADMISIBLE",IF(AND(BG54="VÁLIDA",BF53&lt;=$H$54,BE56="",BF53&gt;=$H$54*0.9),BF53,"DESCARTADO"),BE10)</f>
        <v>NO ADMISIBLE</v>
      </c>
      <c r="BG54" s="164" t="str">
        <f t="shared" ref="BG54" si="790">IF(COUNTIF(BG15:BG52,"NO VÁLIDA")&gt;0,"NO VÁLIDA","VÁLIDA")</f>
        <v>NO VÁLIDA</v>
      </c>
      <c r="BH54" s="171"/>
      <c r="BI54" s="172" t="str">
        <f t="shared" ref="BI54" si="791">IF(BH10="ADMISIBLE",IF(AND(BJ54="VÁLIDA",BI53&lt;=$H$54,BH56="",BI53&gt;=$H$54*0.9),BI53,"DESCARTADO"),BH10)</f>
        <v>RECHAZO</v>
      </c>
      <c r="BJ54" s="164" t="str">
        <f t="shared" ref="BJ54" si="792">IF(COUNTIF(BJ15:BJ52,"NO VÁLIDA")&gt;0,"NO VÁLIDA","VÁLIDA")</f>
        <v>NO VÁLIDA</v>
      </c>
      <c r="BK54" s="171"/>
      <c r="BL54" s="172">
        <f t="shared" ref="BL54" si="793">IF(BK10="ADMISIBLE",IF(AND(BM54="VÁLIDA",BL53&lt;=$H$54,BK56="",BL53&gt;=$H$54*0.9),BL53,"DESCARTADO"),BK10)</f>
        <v>20668135941</v>
      </c>
      <c r="BM54" s="164" t="str">
        <f t="shared" ref="BM54" si="794">IF(COUNTIF(BM15:BM52,"NO VÁLIDA")&gt;0,"NO VÁLIDA","VÁLIDA")</f>
        <v>VÁLIDA</v>
      </c>
      <c r="BN54" s="171"/>
      <c r="BO54" s="172">
        <f t="shared" ref="BO54" si="795">IF(BN10="ADMISIBLE",IF(AND(BP54="VÁLIDA",BO53&lt;=$H$54,BN56="",BO53&gt;=$H$54*0.9),BO53,"DESCARTADO"),BN10)</f>
        <v>20641034136</v>
      </c>
      <c r="BP54" s="164" t="str">
        <f t="shared" ref="BP54" si="796">IF(COUNTIF(BP15:BP52,"NO VÁLIDA")&gt;0,"NO VÁLIDA","VÁLIDA")</f>
        <v>VÁLIDA</v>
      </c>
      <c r="BQ54" s="171"/>
      <c r="BR54" s="172">
        <f t="shared" ref="BR54" si="797">IF(BQ10="ADMISIBLE",IF(AND(BS54="VÁLIDA",BR53&lt;=$H$54,BQ56="",BR53&gt;=$H$54*0.9),BR53,"DESCARTADO"),BQ10)</f>
        <v>20321272708</v>
      </c>
      <c r="BS54" s="164" t="str">
        <f t="shared" ref="BS54" si="798">IF(COUNTIF(BS15:BS52,"NO VÁLIDA")&gt;0,"NO VÁLIDA","VÁLIDA")</f>
        <v>VÁLIDA</v>
      </c>
      <c r="BT54"/>
    </row>
    <row r="55" spans="1:72" s="9" customFormat="1" ht="19.5" thickTop="1" thickBot="1" x14ac:dyDescent="0.3">
      <c r="A55" s="22"/>
      <c r="B55" s="14"/>
      <c r="C55" s="14"/>
      <c r="D55" s="23"/>
      <c r="E55" s="23"/>
      <c r="F55" s="23"/>
      <c r="G55" s="28"/>
      <c r="H55" s="28"/>
      <c r="I55" s="337">
        <f>I11</f>
        <v>1</v>
      </c>
      <c r="J55" s="338"/>
      <c r="K55" s="339"/>
      <c r="L55" s="337">
        <f>L11</f>
        <v>3</v>
      </c>
      <c r="M55" s="338"/>
      <c r="N55" s="339"/>
      <c r="O55" s="337">
        <f>O11</f>
        <v>4</v>
      </c>
      <c r="P55" s="338"/>
      <c r="Q55" s="339"/>
      <c r="R55" s="337">
        <f>R11</f>
        <v>5</v>
      </c>
      <c r="S55" s="338"/>
      <c r="T55" s="339"/>
      <c r="U55" s="337">
        <f>U11</f>
        <v>6</v>
      </c>
      <c r="V55" s="338"/>
      <c r="W55" s="339"/>
      <c r="X55" s="337">
        <f>X11</f>
        <v>7</v>
      </c>
      <c r="Y55" s="338"/>
      <c r="Z55" s="339"/>
      <c r="AA55" s="337">
        <f>AA11</f>
        <v>10</v>
      </c>
      <c r="AB55" s="338"/>
      <c r="AC55" s="339"/>
      <c r="AD55" s="337">
        <f>AD11</f>
        <v>12</v>
      </c>
      <c r="AE55" s="338"/>
      <c r="AF55" s="339"/>
      <c r="AG55" s="337">
        <f>AG11</f>
        <v>13</v>
      </c>
      <c r="AH55" s="338"/>
      <c r="AI55" s="339"/>
      <c r="AJ55" s="337">
        <f>AJ11</f>
        <v>17</v>
      </c>
      <c r="AK55" s="338"/>
      <c r="AL55" s="339"/>
      <c r="AM55" s="337">
        <f>AM11</f>
        <v>18</v>
      </c>
      <c r="AN55" s="338"/>
      <c r="AO55" s="339"/>
      <c r="AP55" s="337">
        <f>AP11</f>
        <v>20</v>
      </c>
      <c r="AQ55" s="338"/>
      <c r="AR55" s="339"/>
      <c r="AS55" s="337">
        <f>AS11</f>
        <v>21</v>
      </c>
      <c r="AT55" s="338"/>
      <c r="AU55" s="339"/>
      <c r="AV55" s="337">
        <f>AV11</f>
        <v>23</v>
      </c>
      <c r="AW55" s="338"/>
      <c r="AX55" s="339"/>
      <c r="AY55" s="337">
        <f>AY11</f>
        <v>24</v>
      </c>
      <c r="AZ55" s="338"/>
      <c r="BA55" s="339"/>
      <c r="BB55" s="337">
        <f>BB11</f>
        <v>25</v>
      </c>
      <c r="BC55" s="338"/>
      <c r="BD55" s="339"/>
      <c r="BE55" s="337">
        <f>BE11</f>
        <v>27</v>
      </c>
      <c r="BF55" s="338"/>
      <c r="BG55" s="339"/>
      <c r="BH55" s="337">
        <f>BH11</f>
        <v>29</v>
      </c>
      <c r="BI55" s="338"/>
      <c r="BJ55" s="339"/>
      <c r="BK55" s="337">
        <f>BK11</f>
        <v>30</v>
      </c>
      <c r="BL55" s="338"/>
      <c r="BM55" s="339"/>
      <c r="BN55" s="337">
        <f>BN11</f>
        <v>31</v>
      </c>
      <c r="BO55" s="338"/>
      <c r="BP55" s="339"/>
      <c r="BQ55" s="337">
        <f>BQ11</f>
        <v>33</v>
      </c>
      <c r="BR55" s="338"/>
      <c r="BS55" s="339"/>
      <c r="BT55"/>
    </row>
    <row r="56" spans="1:72" ht="18.75" customHeight="1" thickTop="1" x14ac:dyDescent="0.2">
      <c r="A56" s="11"/>
      <c r="D56" s="11"/>
      <c r="E56" s="11"/>
      <c r="F56" s="11"/>
      <c r="G56" s="29"/>
      <c r="H56" s="352" t="s">
        <v>37</v>
      </c>
      <c r="I56" s="340"/>
      <c r="J56" s="341"/>
      <c r="K56" s="342"/>
      <c r="L56" s="340" t="s">
        <v>207</v>
      </c>
      <c r="M56" s="341"/>
      <c r="N56" s="342"/>
      <c r="O56" s="340"/>
      <c r="P56" s="341"/>
      <c r="Q56" s="342"/>
      <c r="R56" s="340"/>
      <c r="S56" s="341"/>
      <c r="T56" s="342"/>
      <c r="U56" s="340"/>
      <c r="V56" s="341"/>
      <c r="W56" s="342"/>
      <c r="X56" s="340"/>
      <c r="Y56" s="341"/>
      <c r="Z56" s="342"/>
      <c r="AA56" s="340"/>
      <c r="AB56" s="341"/>
      <c r="AC56" s="342"/>
      <c r="AD56" s="340"/>
      <c r="AE56" s="341"/>
      <c r="AF56" s="342"/>
      <c r="AG56" s="340"/>
      <c r="AH56" s="341"/>
      <c r="AI56" s="342"/>
      <c r="AJ56" s="340"/>
      <c r="AK56" s="341"/>
      <c r="AL56" s="342"/>
      <c r="AM56" s="340"/>
      <c r="AN56" s="341"/>
      <c r="AO56" s="342"/>
      <c r="AP56" s="340" t="s">
        <v>201</v>
      </c>
      <c r="AQ56" s="341"/>
      <c r="AR56" s="342"/>
      <c r="AS56" s="340"/>
      <c r="AT56" s="341"/>
      <c r="AU56" s="342"/>
      <c r="AV56" s="340"/>
      <c r="AW56" s="341"/>
      <c r="AX56" s="342"/>
      <c r="AY56" s="340"/>
      <c r="AZ56" s="341"/>
      <c r="BA56" s="342"/>
      <c r="BB56" s="340" t="s">
        <v>204</v>
      </c>
      <c r="BC56" s="341"/>
      <c r="BD56" s="342"/>
      <c r="BE56" s="340"/>
      <c r="BF56" s="341"/>
      <c r="BG56" s="342"/>
      <c r="BH56" s="340"/>
      <c r="BI56" s="341"/>
      <c r="BJ56" s="342"/>
      <c r="BK56" s="340"/>
      <c r="BL56" s="341"/>
      <c r="BM56" s="342"/>
      <c r="BN56" s="340"/>
      <c r="BO56" s="341"/>
      <c r="BP56" s="342"/>
      <c r="BQ56" s="340"/>
      <c r="BR56" s="341"/>
      <c r="BS56" s="342"/>
    </row>
    <row r="57" spans="1:72" ht="18.75" customHeight="1" x14ac:dyDescent="0.2">
      <c r="H57" s="353"/>
      <c r="I57" s="343"/>
      <c r="J57" s="344"/>
      <c r="K57" s="345"/>
      <c r="L57" s="343"/>
      <c r="M57" s="344"/>
      <c r="N57" s="345"/>
      <c r="O57" s="343"/>
      <c r="P57" s="344"/>
      <c r="Q57" s="345"/>
      <c r="R57" s="343"/>
      <c r="S57" s="344"/>
      <c r="T57" s="345"/>
      <c r="U57" s="343"/>
      <c r="V57" s="344"/>
      <c r="W57" s="345"/>
      <c r="X57" s="343"/>
      <c r="Y57" s="344"/>
      <c r="Z57" s="345"/>
      <c r="AA57" s="343"/>
      <c r="AB57" s="344"/>
      <c r="AC57" s="345"/>
      <c r="AD57" s="343"/>
      <c r="AE57" s="344"/>
      <c r="AF57" s="345"/>
      <c r="AG57" s="343"/>
      <c r="AH57" s="344"/>
      <c r="AI57" s="345"/>
      <c r="AJ57" s="343"/>
      <c r="AK57" s="344"/>
      <c r="AL57" s="345"/>
      <c r="AM57" s="343"/>
      <c r="AN57" s="344"/>
      <c r="AO57" s="345"/>
      <c r="AP57" s="343"/>
      <c r="AQ57" s="344"/>
      <c r="AR57" s="345"/>
      <c r="AS57" s="343"/>
      <c r="AT57" s="344"/>
      <c r="AU57" s="345"/>
      <c r="AV57" s="343"/>
      <c r="AW57" s="344"/>
      <c r="AX57" s="345"/>
      <c r="AY57" s="343"/>
      <c r="AZ57" s="344"/>
      <c r="BA57" s="345"/>
      <c r="BB57" s="343"/>
      <c r="BC57" s="344"/>
      <c r="BD57" s="345"/>
      <c r="BE57" s="343"/>
      <c r="BF57" s="344"/>
      <c r="BG57" s="345"/>
      <c r="BH57" s="343"/>
      <c r="BI57" s="344"/>
      <c r="BJ57" s="345"/>
      <c r="BK57" s="343"/>
      <c r="BL57" s="344"/>
      <c r="BM57" s="345"/>
      <c r="BN57" s="343"/>
      <c r="BO57" s="344"/>
      <c r="BP57" s="345"/>
      <c r="BQ57" s="343"/>
      <c r="BR57" s="344"/>
      <c r="BS57" s="345"/>
    </row>
    <row r="58" spans="1:72" ht="18.75" customHeight="1" x14ac:dyDescent="0.2">
      <c r="H58" s="353"/>
      <c r="I58" s="343"/>
      <c r="J58" s="344"/>
      <c r="K58" s="345"/>
      <c r="L58" s="343"/>
      <c r="M58" s="344"/>
      <c r="N58" s="345"/>
      <c r="O58" s="343"/>
      <c r="P58" s="344"/>
      <c r="Q58" s="345"/>
      <c r="R58" s="343"/>
      <c r="S58" s="344"/>
      <c r="T58" s="345"/>
      <c r="U58" s="343"/>
      <c r="V58" s="344"/>
      <c r="W58" s="345"/>
      <c r="X58" s="343"/>
      <c r="Y58" s="344"/>
      <c r="Z58" s="345"/>
      <c r="AA58" s="343"/>
      <c r="AB58" s="344"/>
      <c r="AC58" s="345"/>
      <c r="AD58" s="343"/>
      <c r="AE58" s="344"/>
      <c r="AF58" s="345"/>
      <c r="AG58" s="343"/>
      <c r="AH58" s="344"/>
      <c r="AI58" s="345"/>
      <c r="AJ58" s="343"/>
      <c r="AK58" s="344"/>
      <c r="AL58" s="345"/>
      <c r="AM58" s="343"/>
      <c r="AN58" s="344"/>
      <c r="AO58" s="345"/>
      <c r="AP58" s="343"/>
      <c r="AQ58" s="344"/>
      <c r="AR58" s="345"/>
      <c r="AS58" s="343"/>
      <c r="AT58" s="344"/>
      <c r="AU58" s="345"/>
      <c r="AV58" s="343"/>
      <c r="AW58" s="344"/>
      <c r="AX58" s="345"/>
      <c r="AY58" s="343"/>
      <c r="AZ58" s="344"/>
      <c r="BA58" s="345"/>
      <c r="BB58" s="343"/>
      <c r="BC58" s="344"/>
      <c r="BD58" s="345"/>
      <c r="BE58" s="343"/>
      <c r="BF58" s="344"/>
      <c r="BG58" s="345"/>
      <c r="BH58" s="343"/>
      <c r="BI58" s="344"/>
      <c r="BJ58" s="345"/>
      <c r="BK58" s="343"/>
      <c r="BL58" s="344"/>
      <c r="BM58" s="345"/>
      <c r="BN58" s="343"/>
      <c r="BO58" s="344"/>
      <c r="BP58" s="345"/>
      <c r="BQ58" s="343"/>
      <c r="BR58" s="344"/>
      <c r="BS58" s="345"/>
    </row>
    <row r="59" spans="1:72" ht="18.75" customHeight="1" thickBot="1" x14ac:dyDescent="0.25">
      <c r="H59" s="354"/>
      <c r="I59" s="346"/>
      <c r="J59" s="347"/>
      <c r="K59" s="348"/>
      <c r="L59" s="346"/>
      <c r="M59" s="347"/>
      <c r="N59" s="348"/>
      <c r="O59" s="346"/>
      <c r="P59" s="347"/>
      <c r="Q59" s="348"/>
      <c r="R59" s="346"/>
      <c r="S59" s="347"/>
      <c r="T59" s="348"/>
      <c r="U59" s="346"/>
      <c r="V59" s="347"/>
      <c r="W59" s="348"/>
      <c r="X59" s="346"/>
      <c r="Y59" s="347"/>
      <c r="Z59" s="348"/>
      <c r="AA59" s="346"/>
      <c r="AB59" s="347"/>
      <c r="AC59" s="348"/>
      <c r="AD59" s="346"/>
      <c r="AE59" s="347"/>
      <c r="AF59" s="348"/>
      <c r="AG59" s="346"/>
      <c r="AH59" s="347"/>
      <c r="AI59" s="348"/>
      <c r="AJ59" s="346"/>
      <c r="AK59" s="347"/>
      <c r="AL59" s="348"/>
      <c r="AM59" s="346"/>
      <c r="AN59" s="347"/>
      <c r="AO59" s="348"/>
      <c r="AP59" s="346"/>
      <c r="AQ59" s="347"/>
      <c r="AR59" s="348"/>
      <c r="AS59" s="346"/>
      <c r="AT59" s="347"/>
      <c r="AU59" s="348"/>
      <c r="AV59" s="346"/>
      <c r="AW59" s="347"/>
      <c r="AX59" s="348"/>
      <c r="AY59" s="346"/>
      <c r="AZ59" s="347"/>
      <c r="BA59" s="348"/>
      <c r="BB59" s="346"/>
      <c r="BC59" s="347"/>
      <c r="BD59" s="348"/>
      <c r="BE59" s="346"/>
      <c r="BF59" s="347"/>
      <c r="BG59" s="348"/>
      <c r="BH59" s="346"/>
      <c r="BI59" s="347"/>
      <c r="BJ59" s="348"/>
      <c r="BK59" s="346"/>
      <c r="BL59" s="347"/>
      <c r="BM59" s="348"/>
      <c r="BN59" s="346"/>
      <c r="BO59" s="347"/>
      <c r="BP59" s="348"/>
      <c r="BQ59" s="346"/>
      <c r="BR59" s="347"/>
      <c r="BS59" s="348"/>
    </row>
    <row r="60" spans="1:72" ht="18.75" customHeight="1" thickTop="1" x14ac:dyDescent="0.2">
      <c r="B60" s="2"/>
      <c r="C60" s="2"/>
      <c r="G60" s="2"/>
      <c r="H60" s="352" t="s">
        <v>82</v>
      </c>
      <c r="I60" s="340"/>
      <c r="J60" s="341"/>
      <c r="K60" s="342"/>
      <c r="L60" s="340" t="s">
        <v>198</v>
      </c>
      <c r="M60" s="341"/>
      <c r="N60" s="342"/>
      <c r="O60" s="340"/>
      <c r="P60" s="341"/>
      <c r="Q60" s="342"/>
      <c r="R60" s="340" t="s">
        <v>199</v>
      </c>
      <c r="S60" s="341"/>
      <c r="T60" s="342"/>
      <c r="U60" s="340"/>
      <c r="V60" s="341"/>
      <c r="W60" s="342"/>
      <c r="X60" s="340"/>
      <c r="Y60" s="341"/>
      <c r="Z60" s="342"/>
      <c r="AA60" s="340"/>
      <c r="AB60" s="341"/>
      <c r="AC60" s="342"/>
      <c r="AD60" s="340" t="s">
        <v>200</v>
      </c>
      <c r="AE60" s="341"/>
      <c r="AF60" s="342"/>
      <c r="AG60" s="340"/>
      <c r="AH60" s="341"/>
      <c r="AI60" s="342"/>
      <c r="AJ60" s="340"/>
      <c r="AK60" s="341"/>
      <c r="AL60" s="342"/>
      <c r="AM60" s="340"/>
      <c r="AN60" s="341"/>
      <c r="AO60" s="342"/>
      <c r="AP60" s="340"/>
      <c r="AQ60" s="341"/>
      <c r="AR60" s="342"/>
      <c r="AS60" s="340" t="s">
        <v>202</v>
      </c>
      <c r="AT60" s="341"/>
      <c r="AU60" s="342"/>
      <c r="AV60" s="340"/>
      <c r="AW60" s="341"/>
      <c r="AX60" s="342"/>
      <c r="AY60" s="340" t="s">
        <v>203</v>
      </c>
      <c r="AZ60" s="341"/>
      <c r="BA60" s="342"/>
      <c r="BB60" s="340"/>
      <c r="BC60" s="341"/>
      <c r="BD60" s="342"/>
      <c r="BE60" s="340"/>
      <c r="BF60" s="341"/>
      <c r="BG60" s="342"/>
      <c r="BH60" s="340"/>
      <c r="BI60" s="341"/>
      <c r="BJ60" s="342"/>
      <c r="BK60" s="340"/>
      <c r="BL60" s="341"/>
      <c r="BM60" s="342"/>
      <c r="BN60" s="340" t="s">
        <v>205</v>
      </c>
      <c r="BO60" s="341"/>
      <c r="BP60" s="342"/>
      <c r="BQ60" s="340" t="s">
        <v>206</v>
      </c>
      <c r="BR60" s="341"/>
      <c r="BS60" s="342"/>
    </row>
    <row r="61" spans="1:72" ht="18.75" customHeight="1" x14ac:dyDescent="0.2">
      <c r="H61" s="353"/>
      <c r="I61" s="343"/>
      <c r="J61" s="344"/>
      <c r="K61" s="345"/>
      <c r="L61" s="343"/>
      <c r="M61" s="344"/>
      <c r="N61" s="345"/>
      <c r="O61" s="343"/>
      <c r="P61" s="344"/>
      <c r="Q61" s="345"/>
      <c r="R61" s="343"/>
      <c r="S61" s="344"/>
      <c r="T61" s="345"/>
      <c r="U61" s="343"/>
      <c r="V61" s="344"/>
      <c r="W61" s="345"/>
      <c r="X61" s="343"/>
      <c r="Y61" s="344"/>
      <c r="Z61" s="345"/>
      <c r="AA61" s="343"/>
      <c r="AB61" s="344"/>
      <c r="AC61" s="345"/>
      <c r="AD61" s="343"/>
      <c r="AE61" s="344"/>
      <c r="AF61" s="345"/>
      <c r="AG61" s="343"/>
      <c r="AH61" s="344"/>
      <c r="AI61" s="345"/>
      <c r="AJ61" s="343"/>
      <c r="AK61" s="344"/>
      <c r="AL61" s="345"/>
      <c r="AM61" s="343"/>
      <c r="AN61" s="344"/>
      <c r="AO61" s="345"/>
      <c r="AP61" s="343"/>
      <c r="AQ61" s="344"/>
      <c r="AR61" s="345"/>
      <c r="AS61" s="343"/>
      <c r="AT61" s="344"/>
      <c r="AU61" s="345"/>
      <c r="AV61" s="343"/>
      <c r="AW61" s="344"/>
      <c r="AX61" s="345"/>
      <c r="AY61" s="343"/>
      <c r="AZ61" s="344"/>
      <c r="BA61" s="345"/>
      <c r="BB61" s="343"/>
      <c r="BC61" s="344"/>
      <c r="BD61" s="345"/>
      <c r="BE61" s="343"/>
      <c r="BF61" s="344"/>
      <c r="BG61" s="345"/>
      <c r="BH61" s="343"/>
      <c r="BI61" s="344"/>
      <c r="BJ61" s="345"/>
      <c r="BK61" s="343"/>
      <c r="BL61" s="344"/>
      <c r="BM61" s="345"/>
      <c r="BN61" s="343"/>
      <c r="BO61" s="344"/>
      <c r="BP61" s="345"/>
      <c r="BQ61" s="343"/>
      <c r="BR61" s="344"/>
      <c r="BS61" s="345"/>
    </row>
    <row r="62" spans="1:72" ht="18.75" customHeight="1" x14ac:dyDescent="0.2">
      <c r="H62" s="353"/>
      <c r="I62" s="343"/>
      <c r="J62" s="344"/>
      <c r="K62" s="345"/>
      <c r="L62" s="343"/>
      <c r="M62" s="344"/>
      <c r="N62" s="345"/>
      <c r="O62" s="343"/>
      <c r="P62" s="344"/>
      <c r="Q62" s="345"/>
      <c r="R62" s="343"/>
      <c r="S62" s="344"/>
      <c r="T62" s="345"/>
      <c r="U62" s="343"/>
      <c r="V62" s="344"/>
      <c r="W62" s="345"/>
      <c r="X62" s="343"/>
      <c r="Y62" s="344"/>
      <c r="Z62" s="345"/>
      <c r="AA62" s="343"/>
      <c r="AB62" s="344"/>
      <c r="AC62" s="345"/>
      <c r="AD62" s="343"/>
      <c r="AE62" s="344"/>
      <c r="AF62" s="345"/>
      <c r="AG62" s="343"/>
      <c r="AH62" s="344"/>
      <c r="AI62" s="345"/>
      <c r="AJ62" s="343"/>
      <c r="AK62" s="344"/>
      <c r="AL62" s="345"/>
      <c r="AM62" s="343"/>
      <c r="AN62" s="344"/>
      <c r="AO62" s="345"/>
      <c r="AP62" s="343"/>
      <c r="AQ62" s="344"/>
      <c r="AR62" s="345"/>
      <c r="AS62" s="343"/>
      <c r="AT62" s="344"/>
      <c r="AU62" s="345"/>
      <c r="AV62" s="343"/>
      <c r="AW62" s="344"/>
      <c r="AX62" s="345"/>
      <c r="AY62" s="343"/>
      <c r="AZ62" s="344"/>
      <c r="BA62" s="345"/>
      <c r="BB62" s="343"/>
      <c r="BC62" s="344"/>
      <c r="BD62" s="345"/>
      <c r="BE62" s="343"/>
      <c r="BF62" s="344"/>
      <c r="BG62" s="345"/>
      <c r="BH62" s="343"/>
      <c r="BI62" s="344"/>
      <c r="BJ62" s="345"/>
      <c r="BK62" s="343"/>
      <c r="BL62" s="344"/>
      <c r="BM62" s="345"/>
      <c r="BN62" s="343"/>
      <c r="BO62" s="344"/>
      <c r="BP62" s="345"/>
      <c r="BQ62" s="343"/>
      <c r="BR62" s="344"/>
      <c r="BS62" s="345"/>
    </row>
    <row r="63" spans="1:72" ht="18.75" customHeight="1" thickBot="1" x14ac:dyDescent="0.25">
      <c r="B63" s="2"/>
      <c r="C63" s="2"/>
      <c r="G63" s="2"/>
      <c r="H63" s="354"/>
      <c r="I63" s="346"/>
      <c r="J63" s="347"/>
      <c r="K63" s="348"/>
      <c r="L63" s="346"/>
      <c r="M63" s="347"/>
      <c r="N63" s="348"/>
      <c r="O63" s="346"/>
      <c r="P63" s="347"/>
      <c r="Q63" s="348"/>
      <c r="R63" s="346"/>
      <c r="S63" s="347"/>
      <c r="T63" s="348"/>
      <c r="U63" s="346"/>
      <c r="V63" s="347"/>
      <c r="W63" s="348"/>
      <c r="X63" s="346"/>
      <c r="Y63" s="347"/>
      <c r="Z63" s="348"/>
      <c r="AA63" s="346"/>
      <c r="AB63" s="347"/>
      <c r="AC63" s="348"/>
      <c r="AD63" s="346"/>
      <c r="AE63" s="347"/>
      <c r="AF63" s="348"/>
      <c r="AG63" s="346"/>
      <c r="AH63" s="347"/>
      <c r="AI63" s="348"/>
      <c r="AJ63" s="346"/>
      <c r="AK63" s="347"/>
      <c r="AL63" s="348"/>
      <c r="AM63" s="346"/>
      <c r="AN63" s="347"/>
      <c r="AO63" s="348"/>
      <c r="AP63" s="346"/>
      <c r="AQ63" s="347"/>
      <c r="AR63" s="348"/>
      <c r="AS63" s="346"/>
      <c r="AT63" s="347"/>
      <c r="AU63" s="348"/>
      <c r="AV63" s="346"/>
      <c r="AW63" s="347"/>
      <c r="AX63" s="348"/>
      <c r="AY63" s="346"/>
      <c r="AZ63" s="347"/>
      <c r="BA63" s="348"/>
      <c r="BB63" s="346"/>
      <c r="BC63" s="347"/>
      <c r="BD63" s="348"/>
      <c r="BE63" s="346"/>
      <c r="BF63" s="347"/>
      <c r="BG63" s="348"/>
      <c r="BH63" s="346"/>
      <c r="BI63" s="347"/>
      <c r="BJ63" s="348"/>
      <c r="BK63" s="346"/>
      <c r="BL63" s="347"/>
      <c r="BM63" s="348"/>
      <c r="BN63" s="346"/>
      <c r="BO63" s="347"/>
      <c r="BP63" s="348"/>
      <c r="BQ63" s="346"/>
      <c r="BR63" s="347"/>
      <c r="BS63" s="348"/>
    </row>
    <row r="64" spans="1:72" s="183" customFormat="1" ht="13.5" thickTop="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row>
    <row r="65" spans="10:71" x14ac:dyDescent="0.2">
      <c r="L65" s="12"/>
      <c r="M65" s="12"/>
      <c r="N65" s="16"/>
      <c r="O65" s="12"/>
      <c r="P65" s="12"/>
      <c r="Q65" s="16"/>
      <c r="R65" s="12"/>
      <c r="S65" s="12"/>
      <c r="T65" s="16"/>
      <c r="U65" s="12"/>
      <c r="V65" s="12"/>
      <c r="W65" s="16"/>
      <c r="X65" s="12"/>
      <c r="Y65" s="12"/>
      <c r="Z65" s="16"/>
      <c r="AA65" s="12"/>
      <c r="AB65" s="12"/>
      <c r="AC65" s="16"/>
      <c r="AD65" s="12"/>
      <c r="AE65" s="12"/>
      <c r="AF65" s="16"/>
      <c r="AG65" s="12"/>
      <c r="AH65" s="12"/>
      <c r="AI65" s="16"/>
      <c r="AJ65" s="12"/>
      <c r="AK65" s="12"/>
      <c r="AL65" s="16"/>
      <c r="AM65" s="12"/>
      <c r="AN65" s="12"/>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row>
    <row r="66" spans="10:71" x14ac:dyDescent="0.2">
      <c r="L66" s="12"/>
      <c r="M66" s="12"/>
      <c r="N66" s="16"/>
      <c r="O66" s="12"/>
      <c r="P66" s="12"/>
      <c r="Q66" s="16"/>
      <c r="R66" s="12"/>
      <c r="S66" s="12"/>
      <c r="T66" s="16"/>
      <c r="U66" s="12"/>
      <c r="V66" s="12"/>
      <c r="W66" s="16"/>
      <c r="X66" s="12"/>
      <c r="Y66" s="12"/>
      <c r="Z66" s="16"/>
      <c r="AA66" s="12"/>
      <c r="AB66" s="12"/>
      <c r="AC66" s="16"/>
      <c r="AD66" s="12"/>
      <c r="AE66" s="12"/>
      <c r="AF66" s="16"/>
      <c r="AG66" s="12"/>
      <c r="AH66" s="12"/>
      <c r="AI66" s="16"/>
      <c r="AJ66" s="12"/>
      <c r="AK66" s="12"/>
      <c r="AL66" s="16"/>
      <c r="AM66" s="12"/>
      <c r="AN66" s="12"/>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row>
    <row r="67" spans="10:71" x14ac:dyDescent="0.2">
      <c r="J67" s="203"/>
      <c r="L67" s="12"/>
      <c r="M67" s="12"/>
      <c r="N67" s="16"/>
      <c r="O67" s="12"/>
      <c r="P67" s="12"/>
      <c r="Q67" s="16"/>
      <c r="R67" s="12"/>
      <c r="S67" s="12"/>
      <c r="T67" s="16"/>
      <c r="U67" s="12"/>
      <c r="V67" s="12"/>
      <c r="W67" s="16"/>
      <c r="X67" s="12"/>
      <c r="Y67" s="12"/>
      <c r="Z67" s="16"/>
      <c r="AA67" s="12"/>
      <c r="AB67" s="12"/>
      <c r="AC67" s="16"/>
      <c r="AD67" s="12"/>
      <c r="AE67" s="12"/>
      <c r="AF67" s="16"/>
      <c r="AG67" s="12"/>
      <c r="AH67" s="12"/>
      <c r="AI67" s="16"/>
      <c r="AJ67" s="12"/>
      <c r="AK67" s="12"/>
      <c r="AL67" s="16"/>
      <c r="AM67" s="12"/>
      <c r="AN67" s="12"/>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row>
    <row r="68" spans="10:71" x14ac:dyDescent="0.2">
      <c r="L68" s="12"/>
      <c r="M68" s="12"/>
      <c r="N68" s="16"/>
      <c r="O68" s="12"/>
      <c r="P68" s="12"/>
      <c r="Q68" s="16"/>
      <c r="R68" s="12"/>
      <c r="S68" s="12"/>
      <c r="T68" s="16"/>
      <c r="U68" s="12"/>
      <c r="V68" s="12"/>
      <c r="W68" s="16"/>
      <c r="X68" s="12"/>
      <c r="Y68" s="12"/>
      <c r="Z68" s="16"/>
      <c r="AA68" s="12"/>
      <c r="AB68" s="12"/>
      <c r="AC68" s="16"/>
      <c r="AD68" s="12"/>
      <c r="AE68" s="12"/>
      <c r="AF68" s="16"/>
      <c r="AG68" s="12"/>
      <c r="AH68" s="12"/>
      <c r="AI68" s="16"/>
      <c r="AJ68" s="12"/>
      <c r="AK68" s="12"/>
      <c r="AL68" s="16"/>
      <c r="AM68" s="12"/>
      <c r="AN68" s="12"/>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row>
    <row r="69" spans="10:71" x14ac:dyDescent="0.2">
      <c r="L69" s="12"/>
      <c r="M69" s="12"/>
      <c r="N69" s="16"/>
      <c r="O69" s="12"/>
      <c r="P69" s="12"/>
      <c r="Q69" s="16"/>
      <c r="R69" s="12"/>
      <c r="S69" s="12"/>
      <c r="T69" s="16"/>
      <c r="U69" s="12"/>
      <c r="V69" s="12"/>
      <c r="W69" s="16"/>
      <c r="X69" s="12"/>
      <c r="Y69" s="12"/>
      <c r="Z69" s="16"/>
      <c r="AA69" s="12"/>
      <c r="AB69" s="12"/>
      <c r="AC69" s="16"/>
      <c r="AD69" s="12"/>
      <c r="AE69" s="12"/>
      <c r="AF69" s="16"/>
      <c r="AG69" s="12"/>
      <c r="AH69" s="12"/>
      <c r="AI69" s="16"/>
      <c r="AJ69" s="12"/>
      <c r="AK69" s="12"/>
      <c r="AL69" s="16"/>
      <c r="AM69" s="12"/>
      <c r="AN69" s="12"/>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row>
    <row r="70" spans="10:71" x14ac:dyDescent="0.2">
      <c r="L70" s="12"/>
      <c r="M70" s="12"/>
      <c r="N70" s="16"/>
      <c r="O70" s="12"/>
      <c r="P70" s="12"/>
      <c r="Q70" s="16"/>
      <c r="R70" s="12"/>
      <c r="S70" s="12"/>
      <c r="T70" s="16"/>
      <c r="U70" s="12"/>
      <c r="V70" s="12"/>
      <c r="W70" s="16"/>
      <c r="X70" s="12"/>
      <c r="Y70" s="12"/>
      <c r="Z70" s="16"/>
      <c r="AA70" s="12"/>
      <c r="AB70" s="12"/>
      <c r="AC70" s="16"/>
      <c r="AD70" s="12"/>
      <c r="AE70" s="12"/>
      <c r="AF70" s="16"/>
      <c r="AG70" s="12"/>
      <c r="AH70" s="12"/>
      <c r="AI70" s="16"/>
      <c r="AJ70" s="12"/>
      <c r="AK70" s="12"/>
      <c r="AL70" s="16"/>
      <c r="AM70" s="12"/>
      <c r="AN70" s="12"/>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row>
    <row r="71" spans="10:71"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row>
    <row r="72" spans="10:71" x14ac:dyDescent="0.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row>
    <row r="73" spans="10:71" x14ac:dyDescent="0.2">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row>
    <row r="74" spans="10:71"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0:71"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0:71"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0:71"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0:71"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row>
    <row r="79" spans="10:71"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row r="80" spans="10:71"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row>
    <row r="81" spans="12:71"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row>
    <row r="82" spans="12:71"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row>
    <row r="83" spans="12:71"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row>
    <row r="84" spans="12:71"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row>
    <row r="85" spans="12:71"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row>
    <row r="86" spans="12:71"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row>
    <row r="87" spans="12:71"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row>
    <row r="88" spans="12:71"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row>
    <row r="89" spans="12:71"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row>
    <row r="90" spans="12:71"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row>
    <row r="91" spans="12:71"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2:71"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2:71"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2:71"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row r="95" spans="12:71"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row>
    <row r="96" spans="12:71"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row>
    <row r="97" spans="12:71"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row>
    <row r="98" spans="12:71"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row>
    <row r="99" spans="12:71"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row>
    <row r="100" spans="12:71"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row>
    <row r="101" spans="12:71"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row>
    <row r="102" spans="12:71"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row>
    <row r="103" spans="12:71"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row>
    <row r="104" spans="12:71"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row>
    <row r="105" spans="12:71"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2:71"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2:71"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row r="108" spans="12:71"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row>
    <row r="109" spans="12:71"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row>
    <row r="110" spans="12:71"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row>
    <row r="111" spans="12:71"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row>
    <row r="112" spans="12:71"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row>
    <row r="113" spans="12:71"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row>
    <row r="114" spans="12:71"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row>
    <row r="115" spans="12:71"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row>
    <row r="116" spans="12:71"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row>
    <row r="117" spans="12:71"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row>
    <row r="118" spans="12:71"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row>
    <row r="119" spans="12:71"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row>
    <row r="120" spans="12:71"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row>
    <row r="121" spans="12:71"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row>
    <row r="122" spans="12:71"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row>
    <row r="123" spans="12:71"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row r="124" spans="12:71"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row>
    <row r="125" spans="12:71"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row>
    <row r="126" spans="12:71"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row>
    <row r="127" spans="12:71"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row>
    <row r="128" spans="12:71"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row>
    <row r="129" spans="12:71"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row>
    <row r="130" spans="12:71"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row>
    <row r="131" spans="12:71"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row>
    <row r="132" spans="12:71"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row>
    <row r="133" spans="12:71"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row>
    <row r="134" spans="12:71"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row>
    <row r="135" spans="12:71"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row>
    <row r="136" spans="12:71"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2:71"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row r="138" spans="12:71"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row>
    <row r="139" spans="12:71"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row>
    <row r="140" spans="12:71"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row>
    <row r="141" spans="12:71"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row>
    <row r="142" spans="12:71"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row>
    <row r="143" spans="12:71"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row>
    <row r="144" spans="12:71"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row>
    <row r="145" spans="12:71"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row>
    <row r="146" spans="12:71"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row>
    <row r="147" spans="12:71" x14ac:dyDescent="0.2">
      <c r="L147" s="12"/>
      <c r="M147" s="12"/>
      <c r="N147" s="16"/>
      <c r="O147" s="12"/>
      <c r="P147" s="12"/>
      <c r="Q147" s="16"/>
      <c r="R147" s="12"/>
      <c r="S147" s="12"/>
      <c r="T147" s="16"/>
      <c r="U147" s="12"/>
      <c r="V147" s="12"/>
      <c r="W147" s="16"/>
      <c r="X147" s="12"/>
      <c r="Y147" s="12"/>
      <c r="Z147" s="16"/>
      <c r="AA147" s="12"/>
      <c r="AB147" s="12"/>
      <c r="AC147" s="16"/>
      <c r="AD147" s="12"/>
      <c r="AE147" s="12"/>
      <c r="AF147" s="16"/>
      <c r="AG147" s="12"/>
      <c r="AH147" s="12"/>
      <c r="AI147" s="16"/>
      <c r="AJ147" s="12"/>
      <c r="AK147" s="12"/>
      <c r="AL147" s="16"/>
      <c r="AM147" s="12"/>
      <c r="AN147" s="12"/>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row>
    <row r="148" spans="12:71" x14ac:dyDescent="0.2">
      <c r="L148" s="12"/>
      <c r="M148" s="12"/>
      <c r="N148" s="16"/>
      <c r="O148" s="12"/>
      <c r="P148" s="12"/>
      <c r="Q148" s="16"/>
      <c r="R148" s="12"/>
      <c r="S148" s="12"/>
      <c r="T148" s="16"/>
      <c r="U148" s="12"/>
      <c r="V148" s="12"/>
      <c r="W148" s="16"/>
      <c r="X148" s="12"/>
      <c r="Y148" s="12"/>
      <c r="Z148" s="16"/>
      <c r="AA148" s="12"/>
      <c r="AB148" s="12"/>
      <c r="AC148" s="16"/>
      <c r="AD148" s="12"/>
      <c r="AE148" s="12"/>
      <c r="AF148" s="16"/>
      <c r="AG148" s="12"/>
      <c r="AH148" s="12"/>
      <c r="AI148" s="16"/>
      <c r="AJ148" s="12"/>
      <c r="AK148" s="12"/>
      <c r="AL148" s="16"/>
      <c r="AM148" s="12"/>
      <c r="AN148" s="12"/>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row>
  </sheetData>
  <sheetProtection formatRows="0" insertRows="0" selectLockedCells="1"/>
  <protectedRanges>
    <protectedRange password="F692" sqref="B21:C21 E21:G21 B50:H50 E39:G39 B24:C24 E24:G24 B39:C39 E30:G30 B30:C30 B25:H29 B31:H34 B36:H38 B43:D43 B48:D48 B44:C47 E43:H49 B49:C49 C53:H53 E35:G35 B35:C35 B15:H20 B40:H41 I17:I18 I20 B22:I23 I28:I29 I26 I32 I36 I41 L28:L29 L22:L23 L26 O20 O16:O18 O22:O23 O25:O27 O29 O31:O34 O36:O38 O40:O41 U36 AP18 AS36 AS40:AS41 AY15:AY20 AY22:AY23 AY25:AY29 AY31:AY34 AY36 AY40:AY41" name="Rango1_1_1_2"/>
    <protectedRange password="F692" sqref="J48 J43 J53 M48 P48 S48 V48 Y48 AB48 AE48 AH48 AK48 AN48 AQ48 AT48 AW48 AZ48 BC48 BF48 BI48 BL48 BO48 BR48 P43 S43 V43 Y43 AB43 AE43 AH43 AK43 AN43 AQ43 AT43 AW43 AZ43 BC43 BF43 BI43 BL43 BO43 BR43 P53 S53 V53 Y53 AB53 AE53 AH53 AK53 AN53 AQ53 AT53 AW53 AZ53 BC53 BF53 BI53 BL53 BO53 BR53 M53 M43" name="Rango1_1_1_3"/>
    <protectedRange password="F692" sqref="J49:J50 M49:M50 P49:P50 S49:S50 V49:V50 Y49:Y50 AB49:AB50 AE49:AE50 AH49:AH50 AK49:AK50 AN49:AN50 AQ49:AQ50 AT49:AT50 AW49:AW50 AZ49:AZ50 BC49:BC50 BF49:BF50 BI49:BI50 BL49:BL50 BO49:BO50 BR49:BR50" name="Rango1_1_1_3_2"/>
    <protectedRange password="F692" sqref="B14:C14 E14:H14 H21 H39 H24 H30 H35" name="Rango1_1_1_2_3"/>
    <protectedRange password="F692" sqref="J51:J52 M51:M52 P51:P52 S51:S52 V51:V52 Y51:Y52 AB51:AB52 AE51:AE52 AH51:AH52 AK51:AK52 AN51:AN52 AQ51:AQ52 AT51:AT52 AW51:AW52 AZ51:AZ52 BC51:BC52 BF51:BF52 BI51:BI52 BL51:BL52 BO51:BO52 BR51:BR52" name="Rango1_1_1_3_6"/>
    <protectedRange password="F692" sqref="H51:H52" name="Rango1_1_1_2_2_1"/>
    <protectedRange password="F692" sqref="E51:G52" name="Rango1_1_1_1_1_1_1"/>
    <protectedRange password="F692" sqref="B42:H42 O42 AS42 AY42" name="Rango1_1_1_2_4"/>
  </protectedRanges>
  <mergeCells count="144">
    <mergeCell ref="BH55:BJ55"/>
    <mergeCell ref="BK55:BM55"/>
    <mergeCell ref="BN55:BP55"/>
    <mergeCell ref="BQ55:BS55"/>
    <mergeCell ref="BQ56:BS59"/>
    <mergeCell ref="AP56:AR59"/>
    <mergeCell ref="AS56:AU59"/>
    <mergeCell ref="AV56:AX59"/>
    <mergeCell ref="AY56:BA59"/>
    <mergeCell ref="BB56:BD59"/>
    <mergeCell ref="BE56:BG59"/>
    <mergeCell ref="BH56:BJ59"/>
    <mergeCell ref="BK56:BM59"/>
    <mergeCell ref="BN56:BP59"/>
    <mergeCell ref="AP55:AR55"/>
    <mergeCell ref="AS55:AU55"/>
    <mergeCell ref="AV55:AX55"/>
    <mergeCell ref="AY55:BA55"/>
    <mergeCell ref="BB55:BD55"/>
    <mergeCell ref="BE55:BG55"/>
    <mergeCell ref="BH60:BJ63"/>
    <mergeCell ref="BK60:BM63"/>
    <mergeCell ref="BN60:BP63"/>
    <mergeCell ref="BQ60:BS63"/>
    <mergeCell ref="H60:H63"/>
    <mergeCell ref="U60:W63"/>
    <mergeCell ref="X60:Z63"/>
    <mergeCell ref="AA60:AC63"/>
    <mergeCell ref="AD60:AF63"/>
    <mergeCell ref="AG60:AI63"/>
    <mergeCell ref="AJ60:AL63"/>
    <mergeCell ref="AM60:AO63"/>
    <mergeCell ref="AP60:AR63"/>
    <mergeCell ref="I60:K63"/>
    <mergeCell ref="L60:N63"/>
    <mergeCell ref="O60:Q63"/>
    <mergeCell ref="R60:T63"/>
    <mergeCell ref="AS60:AU63"/>
    <mergeCell ref="AV60:AX63"/>
    <mergeCell ref="AY60:BA63"/>
    <mergeCell ref="BB60:BD63"/>
    <mergeCell ref="BE60:BG63"/>
    <mergeCell ref="H56:H59"/>
    <mergeCell ref="B11:H11"/>
    <mergeCell ref="B12:H12"/>
    <mergeCell ref="I56:K59"/>
    <mergeCell ref="I55:K55"/>
    <mergeCell ref="I11:K11"/>
    <mergeCell ref="I12:K12"/>
    <mergeCell ref="O10:Q10"/>
    <mergeCell ref="O11:Q11"/>
    <mergeCell ref="O12:Q12"/>
    <mergeCell ref="O55:Q55"/>
    <mergeCell ref="O56:Q59"/>
    <mergeCell ref="L10:N10"/>
    <mergeCell ref="L11:N11"/>
    <mergeCell ref="L12:N12"/>
    <mergeCell ref="L55:N55"/>
    <mergeCell ref="L56:N59"/>
    <mergeCell ref="B52:G52"/>
    <mergeCell ref="B47:F47"/>
    <mergeCell ref="B49:F49"/>
    <mergeCell ref="B51:G51"/>
    <mergeCell ref="U12:W12"/>
    <mergeCell ref="U55:W55"/>
    <mergeCell ref="U56:W59"/>
    <mergeCell ref="R10:T10"/>
    <mergeCell ref="R11:T11"/>
    <mergeCell ref="R12:T12"/>
    <mergeCell ref="R55:T55"/>
    <mergeCell ref="R56:T59"/>
    <mergeCell ref="I10:K10"/>
    <mergeCell ref="AD55:AF55"/>
    <mergeCell ref="AD56:AF59"/>
    <mergeCell ref="AA10:AC10"/>
    <mergeCell ref="AA11:AC11"/>
    <mergeCell ref="AA12:AC12"/>
    <mergeCell ref="AA55:AC55"/>
    <mergeCell ref="AA56:AC59"/>
    <mergeCell ref="X10:Z10"/>
    <mergeCell ref="X11:Z11"/>
    <mergeCell ref="X12:Z12"/>
    <mergeCell ref="X55:Z55"/>
    <mergeCell ref="X56:Z59"/>
    <mergeCell ref="AM55:AO55"/>
    <mergeCell ref="AM56:AO59"/>
    <mergeCell ref="AP10:AR10"/>
    <mergeCell ref="AP11:AR11"/>
    <mergeCell ref="AP12:AR12"/>
    <mergeCell ref="AS10:AU10"/>
    <mergeCell ref="AS11:AU11"/>
    <mergeCell ref="AS12:AU12"/>
    <mergeCell ref="B44:F44"/>
    <mergeCell ref="B45:F45"/>
    <mergeCell ref="B46:F46"/>
    <mergeCell ref="AJ10:AL10"/>
    <mergeCell ref="AJ11:AL11"/>
    <mergeCell ref="AJ12:AL12"/>
    <mergeCell ref="AJ55:AL55"/>
    <mergeCell ref="AJ56:AL59"/>
    <mergeCell ref="AG10:AI10"/>
    <mergeCell ref="AG11:AI11"/>
    <mergeCell ref="AG12:AI12"/>
    <mergeCell ref="AG55:AI55"/>
    <mergeCell ref="AG56:AI59"/>
    <mergeCell ref="AD10:AF10"/>
    <mergeCell ref="AD11:AF11"/>
    <mergeCell ref="AD12:AF12"/>
    <mergeCell ref="AY12:BA12"/>
    <mergeCell ref="BB10:BD10"/>
    <mergeCell ref="BB11:BD11"/>
    <mergeCell ref="BB12:BD12"/>
    <mergeCell ref="BE10:BG10"/>
    <mergeCell ref="BE11:BG11"/>
    <mergeCell ref="BE12:BG12"/>
    <mergeCell ref="AV12:AX12"/>
    <mergeCell ref="AM10:AO10"/>
    <mergeCell ref="AM11:AO11"/>
    <mergeCell ref="AM12:AO12"/>
    <mergeCell ref="B1:H1"/>
    <mergeCell ref="B2:H2"/>
    <mergeCell ref="B3:H3"/>
    <mergeCell ref="B4:H4"/>
    <mergeCell ref="B5:H5"/>
    <mergeCell ref="B7:H7"/>
    <mergeCell ref="B9:H9"/>
    <mergeCell ref="AY10:BA10"/>
    <mergeCell ref="AY11:BA11"/>
    <mergeCell ref="AV10:AX10"/>
    <mergeCell ref="AV11:AX11"/>
    <mergeCell ref="U10:W10"/>
    <mergeCell ref="U11:W11"/>
    <mergeCell ref="BN10:BP10"/>
    <mergeCell ref="BN11:BP11"/>
    <mergeCell ref="BN12:BP12"/>
    <mergeCell ref="BH12:BJ12"/>
    <mergeCell ref="BK10:BM10"/>
    <mergeCell ref="BK11:BM11"/>
    <mergeCell ref="BK12:BM12"/>
    <mergeCell ref="BQ10:BS10"/>
    <mergeCell ref="BQ11:BS11"/>
    <mergeCell ref="BQ12:BS12"/>
    <mergeCell ref="BH10:BJ10"/>
    <mergeCell ref="BH11:BJ11"/>
  </mergeCells>
  <phoneticPr fontId="4" type="noConversion"/>
  <conditionalFormatting sqref="I10:K10">
    <cfRule type="cellIs" dxfId="178" priority="31269" operator="equal">
      <formula>"NO ADMISIBLE"</formula>
    </cfRule>
    <cfRule type="cellIs" dxfId="177" priority="31270" operator="equal">
      <formula>"RECHAZO"</formula>
    </cfRule>
    <cfRule type="cellIs" dxfId="176" priority="31271" operator="equal">
      <formula>"ADMISIBLE"</formula>
    </cfRule>
  </conditionalFormatting>
  <conditionalFormatting sqref="L10:N10">
    <cfRule type="cellIs" dxfId="175" priority="19141" operator="equal">
      <formula>"NO ADMISIBLE"</formula>
    </cfRule>
    <cfRule type="cellIs" dxfId="174" priority="19142" operator="equal">
      <formula>"RECHAZO"</formula>
    </cfRule>
    <cfRule type="cellIs" dxfId="173" priority="19143" operator="equal">
      <formula>"ADMISIBLE"</formula>
    </cfRule>
  </conditionalFormatting>
  <conditionalFormatting sqref="O10:Q10">
    <cfRule type="cellIs" dxfId="172" priority="19131" operator="equal">
      <formula>"NO ADMISIBLE"</formula>
    </cfRule>
    <cfRule type="cellIs" dxfId="171" priority="19132" operator="equal">
      <formula>"RECHAZO"</formula>
    </cfRule>
    <cfRule type="cellIs" dxfId="170" priority="19133" operator="equal">
      <formula>"ADMISIBLE"</formula>
    </cfRule>
  </conditionalFormatting>
  <conditionalFormatting sqref="R10:T10">
    <cfRule type="cellIs" dxfId="169" priority="19121" operator="equal">
      <formula>"NO ADMISIBLE"</formula>
    </cfRule>
    <cfRule type="cellIs" dxfId="168" priority="19122" operator="equal">
      <formula>"RECHAZO"</formula>
    </cfRule>
    <cfRule type="cellIs" dxfId="167" priority="19123" operator="equal">
      <formula>"ADMISIBLE"</formula>
    </cfRule>
  </conditionalFormatting>
  <conditionalFormatting sqref="U10:W10">
    <cfRule type="cellIs" dxfId="166" priority="19111" operator="equal">
      <formula>"NO ADMISIBLE"</formula>
    </cfRule>
    <cfRule type="cellIs" dxfId="165" priority="19112" operator="equal">
      <formula>"RECHAZO"</formula>
    </cfRule>
    <cfRule type="cellIs" dxfId="164" priority="19113" operator="equal">
      <formula>"ADMISIBLE"</formula>
    </cfRule>
  </conditionalFormatting>
  <conditionalFormatting sqref="X10:Z10">
    <cfRule type="cellIs" dxfId="163" priority="19101" operator="equal">
      <formula>"NO ADMISIBLE"</formula>
    </cfRule>
    <cfRule type="cellIs" dxfId="162" priority="19102" operator="equal">
      <formula>"RECHAZO"</formula>
    </cfRule>
    <cfRule type="cellIs" dxfId="161" priority="19103" operator="equal">
      <formula>"ADMISIBLE"</formula>
    </cfRule>
  </conditionalFormatting>
  <conditionalFormatting sqref="AA10:AC10">
    <cfRule type="cellIs" dxfId="160" priority="19091" operator="equal">
      <formula>"NO ADMISIBLE"</formula>
    </cfRule>
    <cfRule type="cellIs" dxfId="159" priority="19092" operator="equal">
      <formula>"RECHAZO"</formula>
    </cfRule>
    <cfRule type="cellIs" dxfId="158" priority="19093" operator="equal">
      <formula>"ADMISIBLE"</formula>
    </cfRule>
  </conditionalFormatting>
  <conditionalFormatting sqref="AD10:AF10">
    <cfRule type="cellIs" dxfId="157" priority="19081" operator="equal">
      <formula>"NO ADMISIBLE"</formula>
    </cfRule>
    <cfRule type="cellIs" dxfId="156" priority="19082" operator="equal">
      <formula>"RECHAZO"</formula>
    </cfRule>
    <cfRule type="cellIs" dxfId="155" priority="19083" operator="equal">
      <formula>"ADMISIBLE"</formula>
    </cfRule>
  </conditionalFormatting>
  <conditionalFormatting sqref="AG10:AI10">
    <cfRule type="cellIs" dxfId="154" priority="19071" operator="equal">
      <formula>"NO ADMISIBLE"</formula>
    </cfRule>
    <cfRule type="cellIs" dxfId="153" priority="19072" operator="equal">
      <formula>"RECHAZO"</formula>
    </cfRule>
    <cfRule type="cellIs" dxfId="152" priority="19073" operator="equal">
      <formula>"ADMISIBLE"</formula>
    </cfRule>
  </conditionalFormatting>
  <conditionalFormatting sqref="H54">
    <cfRule type="cellIs" dxfId="151" priority="18943" operator="notEqual">
      <formula>""</formula>
    </cfRule>
  </conditionalFormatting>
  <conditionalFormatting sqref="K46 K48:K50 K53 K43:K44">
    <cfRule type="cellIs" dxfId="150" priority="18941" operator="equal">
      <formula>"PARA REVISIÓN"</formula>
    </cfRule>
    <cfRule type="cellIs" dxfId="149" priority="18942" operator="equal">
      <formula>"CUMPLE"</formula>
    </cfRule>
  </conditionalFormatting>
  <conditionalFormatting sqref="AJ10:AL10">
    <cfRule type="cellIs" dxfId="148" priority="18933" operator="equal">
      <formula>"NO ADMISIBLE"</formula>
    </cfRule>
    <cfRule type="cellIs" dxfId="147" priority="18934" operator="equal">
      <formula>"RECHAZO"</formula>
    </cfRule>
    <cfRule type="cellIs" dxfId="146" priority="18935" operator="equal">
      <formula>"ADMISIBLE"</formula>
    </cfRule>
  </conditionalFormatting>
  <conditionalFormatting sqref="AM10:AO10">
    <cfRule type="cellIs" dxfId="145" priority="18930" operator="equal">
      <formula>"NO ADMISIBLE"</formula>
    </cfRule>
    <cfRule type="cellIs" dxfId="144" priority="18931" operator="equal">
      <formula>"RECHAZO"</formula>
    </cfRule>
    <cfRule type="cellIs" dxfId="143" priority="18932" operator="equal">
      <formula>"ADMISIBLE"</formula>
    </cfRule>
  </conditionalFormatting>
  <conditionalFormatting sqref="AP10:AR10">
    <cfRule type="cellIs" dxfId="142" priority="18927" operator="equal">
      <formula>"NO ADMISIBLE"</formula>
    </cfRule>
    <cfRule type="cellIs" dxfId="141" priority="18928" operator="equal">
      <formula>"RECHAZO"</formula>
    </cfRule>
    <cfRule type="cellIs" dxfId="140" priority="18929" operator="equal">
      <formula>"ADMISIBLE"</formula>
    </cfRule>
  </conditionalFormatting>
  <conditionalFormatting sqref="AS10:AU10">
    <cfRule type="cellIs" dxfId="139" priority="18924" operator="equal">
      <formula>"NO ADMISIBLE"</formula>
    </cfRule>
    <cfRule type="cellIs" dxfId="138" priority="18925" operator="equal">
      <formula>"RECHAZO"</formula>
    </cfRule>
    <cfRule type="cellIs" dxfId="137" priority="18926" operator="equal">
      <formula>"ADMISIBLE"</formula>
    </cfRule>
  </conditionalFormatting>
  <conditionalFormatting sqref="AV10:AX10">
    <cfRule type="cellIs" dxfId="136" priority="18921" operator="equal">
      <formula>"NO ADMISIBLE"</formula>
    </cfRule>
    <cfRule type="cellIs" dxfId="135" priority="18922" operator="equal">
      <formula>"RECHAZO"</formula>
    </cfRule>
    <cfRule type="cellIs" dxfId="134" priority="18923" operator="equal">
      <formula>"ADMISIBLE"</formula>
    </cfRule>
  </conditionalFormatting>
  <conditionalFormatting sqref="AY10:BA10">
    <cfRule type="cellIs" dxfId="133" priority="18918" operator="equal">
      <formula>"NO ADMISIBLE"</formula>
    </cfRule>
    <cfRule type="cellIs" dxfId="132" priority="18919" operator="equal">
      <formula>"RECHAZO"</formula>
    </cfRule>
    <cfRule type="cellIs" dxfId="131" priority="18920" operator="equal">
      <formula>"ADMISIBLE"</formula>
    </cfRule>
  </conditionalFormatting>
  <conditionalFormatting sqref="BB10:BD10">
    <cfRule type="cellIs" dxfId="130" priority="18915" operator="equal">
      <formula>"NO ADMISIBLE"</formula>
    </cfRule>
    <cfRule type="cellIs" dxfId="129" priority="18916" operator="equal">
      <formula>"RECHAZO"</formula>
    </cfRule>
    <cfRule type="cellIs" dxfId="128" priority="18917" operator="equal">
      <formula>"ADMISIBLE"</formula>
    </cfRule>
  </conditionalFormatting>
  <conditionalFormatting sqref="BE10:BG10">
    <cfRule type="cellIs" dxfId="127" priority="18912" operator="equal">
      <formula>"NO ADMISIBLE"</formula>
    </cfRule>
    <cfRule type="cellIs" dxfId="126" priority="18913" operator="equal">
      <formula>"RECHAZO"</formula>
    </cfRule>
    <cfRule type="cellIs" dxfId="125" priority="18914" operator="equal">
      <formula>"ADMISIBLE"</formula>
    </cfRule>
  </conditionalFormatting>
  <conditionalFormatting sqref="BH10:BJ10">
    <cfRule type="cellIs" dxfId="124" priority="18909" operator="equal">
      <formula>"NO ADMISIBLE"</formula>
    </cfRule>
    <cfRule type="cellIs" dxfId="123" priority="18910" operator="equal">
      <formula>"RECHAZO"</formula>
    </cfRule>
    <cfRule type="cellIs" dxfId="122" priority="18911" operator="equal">
      <formula>"ADMISIBLE"</formula>
    </cfRule>
  </conditionalFormatting>
  <conditionalFormatting sqref="BK10:BM10">
    <cfRule type="cellIs" dxfId="121" priority="18906" operator="equal">
      <formula>"NO ADMISIBLE"</formula>
    </cfRule>
    <cfRule type="cellIs" dxfId="120" priority="18907" operator="equal">
      <formula>"RECHAZO"</formula>
    </cfRule>
    <cfRule type="cellIs" dxfId="119" priority="18908" operator="equal">
      <formula>"ADMISIBLE"</formula>
    </cfRule>
  </conditionalFormatting>
  <conditionalFormatting sqref="BN10:BP10">
    <cfRule type="cellIs" dxfId="118" priority="18903" operator="equal">
      <formula>"NO ADMISIBLE"</formula>
    </cfRule>
    <cfRule type="cellIs" dxfId="117" priority="18904" operator="equal">
      <formula>"RECHAZO"</formula>
    </cfRule>
    <cfRule type="cellIs" dxfId="116" priority="18905" operator="equal">
      <formula>"ADMISIBLE"</formula>
    </cfRule>
  </conditionalFormatting>
  <conditionalFormatting sqref="BQ10:BS10">
    <cfRule type="cellIs" dxfId="115" priority="18900" operator="equal">
      <formula>"NO ADMISIBLE"</formula>
    </cfRule>
    <cfRule type="cellIs" dxfId="114" priority="18901" operator="equal">
      <formula>"RECHAZO"</formula>
    </cfRule>
    <cfRule type="cellIs" dxfId="113" priority="18902" operator="equal">
      <formula>"ADMISIBLE"</formula>
    </cfRule>
  </conditionalFormatting>
  <conditionalFormatting sqref="K29 K16:K20 K32:K33 K37">
    <cfRule type="cellIs" dxfId="112" priority="18836" operator="equal">
      <formula>"NO VÁLIDA"</formula>
    </cfRule>
    <cfRule type="cellIs" dxfId="111" priority="18837" operator="equal">
      <formula>"VÁLIDA"</formula>
    </cfRule>
  </conditionalFormatting>
  <conditionalFormatting sqref="K47">
    <cfRule type="cellIs" dxfId="110" priority="18822" operator="equal">
      <formula>"NO VÁLIDA"</formula>
    </cfRule>
    <cfRule type="cellIs" dxfId="109" priority="18823" operator="equal">
      <formula>"VÁLIDA"</formula>
    </cfRule>
  </conditionalFormatting>
  <conditionalFormatting sqref="J54">
    <cfRule type="cellIs" dxfId="108" priority="18758" operator="equal">
      <formula>"RECHAZO"</formula>
    </cfRule>
    <cfRule type="cellIs" dxfId="107" priority="18759" operator="equal">
      <formula>"NO ADMISIBLE"</formula>
    </cfRule>
    <cfRule type="cellIs" dxfId="106" priority="18760" operator="notBetween">
      <formula>"RECHAZO"</formula>
      <formula>"NO ADMISIBLE"</formula>
    </cfRule>
  </conditionalFormatting>
  <conditionalFormatting sqref="K54">
    <cfRule type="cellIs" dxfId="105" priority="18344" operator="equal">
      <formula>"NO VÁLIDA"</formula>
    </cfRule>
    <cfRule type="cellIs" dxfId="104" priority="18345" operator="equal">
      <formula>"VÁLIDA"</formula>
    </cfRule>
  </conditionalFormatting>
  <conditionalFormatting sqref="K14">
    <cfRule type="cellIs" dxfId="103" priority="17525" operator="equal">
      <formula>"PARA REVISIÓN"</formula>
    </cfRule>
    <cfRule type="cellIs" dxfId="102" priority="17526" operator="equal">
      <formula>"CUMPLE"</formula>
    </cfRule>
  </conditionalFormatting>
  <conditionalFormatting sqref="K15">
    <cfRule type="cellIs" dxfId="101" priority="17523" operator="equal">
      <formula>"NO VÁLIDA"</formula>
    </cfRule>
    <cfRule type="cellIs" dxfId="100" priority="17524" operator="equal">
      <formula>"VÁLIDA"</formula>
    </cfRule>
  </conditionalFormatting>
  <conditionalFormatting sqref="K21">
    <cfRule type="cellIs" dxfId="99" priority="12786" operator="equal">
      <formula>"PARA REVISIÓN"</formula>
    </cfRule>
    <cfRule type="cellIs" dxfId="98" priority="12787" operator="equal">
      <formula>"CUMPLE"</formula>
    </cfRule>
  </conditionalFormatting>
  <conditionalFormatting sqref="K22">
    <cfRule type="cellIs" dxfId="97" priority="12784" operator="equal">
      <formula>"NO VÁLIDA"</formula>
    </cfRule>
    <cfRule type="cellIs" dxfId="96" priority="12785" operator="equal">
      <formula>"VÁLIDA"</formula>
    </cfRule>
  </conditionalFormatting>
  <conditionalFormatting sqref="K23">
    <cfRule type="cellIs" dxfId="95" priority="5883" operator="equal">
      <formula>"NO VÁLIDA"</formula>
    </cfRule>
    <cfRule type="cellIs" dxfId="94" priority="5884" operator="equal">
      <formula>"VÁLIDA"</formula>
    </cfRule>
  </conditionalFormatting>
  <conditionalFormatting sqref="K40">
    <cfRule type="cellIs" dxfId="93" priority="5596" operator="equal">
      <formula>"NO VÁLIDA"</formula>
    </cfRule>
    <cfRule type="cellIs" dxfId="92" priority="5597" operator="equal">
      <formula>"VÁLIDA"</formula>
    </cfRule>
  </conditionalFormatting>
  <conditionalFormatting sqref="K25">
    <cfRule type="cellIs" dxfId="91" priority="4342" operator="equal">
      <formula>"NO VÁLIDA"</formula>
    </cfRule>
    <cfRule type="cellIs" dxfId="90" priority="4343" operator="equal">
      <formula>"VÁLIDA"</formula>
    </cfRule>
  </conditionalFormatting>
  <conditionalFormatting sqref="K24">
    <cfRule type="cellIs" dxfId="89" priority="2018" operator="equal">
      <formula>"PARA REVISIÓN"</formula>
    </cfRule>
    <cfRule type="cellIs" dxfId="88" priority="2019" operator="equal">
      <formula>"CUMPLE"</formula>
    </cfRule>
  </conditionalFormatting>
  <conditionalFormatting sqref="K39">
    <cfRule type="cellIs" dxfId="87" priority="2014" operator="equal">
      <formula>"PARA REVISIÓN"</formula>
    </cfRule>
    <cfRule type="cellIs" dxfId="86" priority="2015" operator="equal">
      <formula>"CUMPLE"</formula>
    </cfRule>
  </conditionalFormatting>
  <conditionalFormatting sqref="K51">
    <cfRule type="cellIs" dxfId="85" priority="2010" operator="equal">
      <formula>"NO VÁLIDA"</formula>
    </cfRule>
    <cfRule type="cellIs" dxfId="84" priority="2011" operator="equal">
      <formula>"VÁLIDA"</formula>
    </cfRule>
  </conditionalFormatting>
  <conditionalFormatting sqref="K31">
    <cfRule type="cellIs" dxfId="83" priority="1232" operator="equal">
      <formula>"NO VÁLIDA"</formula>
    </cfRule>
    <cfRule type="cellIs" dxfId="82" priority="1233" operator="equal">
      <formula>"VÁLIDA"</formula>
    </cfRule>
  </conditionalFormatting>
  <conditionalFormatting sqref="K34">
    <cfRule type="cellIs" dxfId="81" priority="1230" operator="equal">
      <formula>"NO VÁLIDA"</formula>
    </cfRule>
    <cfRule type="cellIs" dxfId="80" priority="1231" operator="equal">
      <formula>"VÁLIDA"</formula>
    </cfRule>
  </conditionalFormatting>
  <conditionalFormatting sqref="K30">
    <cfRule type="cellIs" dxfId="79" priority="1228" operator="equal">
      <formula>"PARA REVISIÓN"</formula>
    </cfRule>
    <cfRule type="cellIs" dxfId="78" priority="1229" operator="equal">
      <formula>"CUMPLE"</formula>
    </cfRule>
  </conditionalFormatting>
  <conditionalFormatting sqref="K41">
    <cfRule type="cellIs" dxfId="77" priority="1208" operator="equal">
      <formula>"NO VÁLIDA"</formula>
    </cfRule>
    <cfRule type="cellIs" dxfId="76" priority="1209" operator="equal">
      <formula>"VÁLIDA"</formula>
    </cfRule>
  </conditionalFormatting>
  <conditionalFormatting sqref="K42">
    <cfRule type="cellIs" dxfId="75" priority="754" operator="equal">
      <formula>"NO VÁLIDA"</formula>
    </cfRule>
    <cfRule type="cellIs" dxfId="74" priority="755" operator="equal">
      <formula>"VÁLIDA"</formula>
    </cfRule>
  </conditionalFormatting>
  <conditionalFormatting sqref="K45">
    <cfRule type="cellIs" dxfId="73" priority="750" operator="equal">
      <formula>"PARA REVISIÓN"</formula>
    </cfRule>
    <cfRule type="cellIs" dxfId="72" priority="751" operator="equal">
      <formula>"CUMPLE"</formula>
    </cfRule>
  </conditionalFormatting>
  <conditionalFormatting sqref="K52">
    <cfRule type="cellIs" dxfId="71" priority="748" operator="equal">
      <formula>"NO VÁLIDA"</formula>
    </cfRule>
    <cfRule type="cellIs" dxfId="70" priority="749" operator="equal">
      <formula>"VÁLIDA"</formula>
    </cfRule>
  </conditionalFormatting>
  <conditionalFormatting sqref="K36">
    <cfRule type="cellIs" dxfId="69" priority="581" operator="equal">
      <formula>"NO VÁLIDA"</formula>
    </cfRule>
    <cfRule type="cellIs" dxfId="68" priority="582" operator="equal">
      <formula>"VÁLIDA"</formula>
    </cfRule>
  </conditionalFormatting>
  <conditionalFormatting sqref="K38">
    <cfRule type="cellIs" dxfId="67" priority="579" operator="equal">
      <formula>"NO VÁLIDA"</formula>
    </cfRule>
    <cfRule type="cellIs" dxfId="66" priority="580" operator="equal">
      <formula>"VÁLIDA"</formula>
    </cfRule>
  </conditionalFormatting>
  <conditionalFormatting sqref="K35">
    <cfRule type="cellIs" dxfId="65" priority="577" operator="equal">
      <formula>"PARA REVISIÓN"</formula>
    </cfRule>
    <cfRule type="cellIs" dxfId="64" priority="578" operator="equal">
      <formula>"CUMPLE"</formula>
    </cfRule>
  </conditionalFormatting>
  <conditionalFormatting sqref="K26:K28">
    <cfRule type="cellIs" dxfId="63" priority="372" operator="equal">
      <formula>"NO VÁLIDA"</formula>
    </cfRule>
    <cfRule type="cellIs" dxfId="62" priority="373" operator="equal">
      <formula>"VÁLIDA"</formula>
    </cfRule>
  </conditionalFormatting>
  <conditionalFormatting sqref="N46 Q46 T46 W46 Z46 AC46 AF46 AI46 AL46 AO46 AR46 AU46 AX46 BA46 BD46 BG46 BJ46 BM46 BP46 BS46 N48:N50 Q48:Q50 T48:T50 W48:W50 Z48:Z50 AC48:AC50 AF48:AF50 AI48:AI50 AL48:AL50 AO48:AO50 AR48:AR50 AU48:AU50 AX48:AX50 BA48:BA50 BD48:BD50 BG48:BG50 BJ48:BJ50 BM48:BM50 BP48:BP50 BS48:BS50 N53 Q53 T53 W53 Z53 AC53 AF53 AI53 AL53 AO53 AR53 AU53 AX53 BA53 BD53 BG53 BJ53 BM53 BP53 BS53 N43:N44 Q43:Q44 T43:T44 W43:W44 Z43:Z44 AC43:AC44 AF43:AF44 AI43:AI44 AL43:AL44 AO43:AO44 AR43:AR44 AU43:AU44 AX43:AX44 BA43:BA44 BD43:BD44 BG43:BG44 BJ43:BJ44 BM43:BM44 BP43:BP44 BS43:BS44">
    <cfRule type="cellIs" dxfId="61" priority="52" operator="equal">
      <formula>"PARA REVISIÓN"</formula>
    </cfRule>
    <cfRule type="cellIs" dxfId="60" priority="53" operator="equal">
      <formula>"CUMPLE"</formula>
    </cfRule>
  </conditionalFormatting>
  <conditionalFormatting sqref="N29 Q29 T29 W29 Z29 AC29 AF29 AI29 AL29 AO29 AR29 AU29 AX29 BA29 BD29 BG29 BJ29 BM29 BP29 BS29 N16:N20 Q16:Q20 T16:T20 W16:W20 Z16:Z20 AC16:AC20 AF16:AF20 AI16:AI20 AL16:AL20 AO16:AO20 AR16:AR20 AU16:AU20 AX16:AX20 BA16:BA20 BD16:BD20 BG16:BG20 BJ16:BJ20 BM16:BM20 BP16:BP20 BS16:BS20 N32:N33 Q32:Q33 T32:T33 W32:W33 Z32:Z33 AC32:AC33 AF32:AF33 AI32:AI33 AL32:AL33 AO32:AO33 AR32:AR33 AU32:AU33 AX32:AX33 BA32:BA33 BD32:BD33 BG32:BG33 BJ32:BJ33 BM32:BM33 BP32:BP33 BS32:BS33 N37 Q37 T37 W37 Z37 AC37 AF37 AI37 AL37 AO37 AR37 AU37 AX37 BA37 BD37 BG37 BJ37 BM37 BP37 BS37">
    <cfRule type="cellIs" dxfId="59" priority="50" operator="equal">
      <formula>"NO VÁLIDA"</formula>
    </cfRule>
    <cfRule type="cellIs" dxfId="58" priority="51" operator="equal">
      <formula>"VÁLIDA"</formula>
    </cfRule>
  </conditionalFormatting>
  <conditionalFormatting sqref="N47 Q47 T47 W47 Z47 AC47 AF47 AI47 AL47 AO47 AR47 AU47 AX47 BA47 BD47 BG47 BJ47 BM47 BP47 BS47">
    <cfRule type="cellIs" dxfId="57" priority="48" operator="equal">
      <formula>"NO VÁLIDA"</formula>
    </cfRule>
    <cfRule type="cellIs" dxfId="56" priority="49" operator="equal">
      <formula>"VÁLIDA"</formula>
    </cfRule>
  </conditionalFormatting>
  <conditionalFormatting sqref="M54 P54 S54 V54 Y54 AB54 AE54 AH54 AK54 AN54 AQ54 AT54 AW54 AZ54 BC54 BF54 BI54 BL54 BO54 BR54">
    <cfRule type="cellIs" dxfId="55" priority="45" operator="equal">
      <formula>"RECHAZO"</formula>
    </cfRule>
    <cfRule type="cellIs" dxfId="54" priority="46" operator="equal">
      <formula>"NO ADMISIBLE"</formula>
    </cfRule>
    <cfRule type="cellIs" dxfId="53" priority="47" operator="notBetween">
      <formula>"RECHAZO"</formula>
      <formula>"NO ADMISIBLE"</formula>
    </cfRule>
  </conditionalFormatting>
  <conditionalFormatting sqref="N54 Q54 T54 W54 Z54 AC54 AF54 AI54 AL54 AO54 AR54 AU54 AX54 BA54 BD54 BG54 BJ54 BM54 BP54 BS54">
    <cfRule type="cellIs" dxfId="52" priority="43" operator="equal">
      <formula>"NO VÁLIDA"</formula>
    </cfRule>
    <cfRule type="cellIs" dxfId="51" priority="44" operator="equal">
      <formula>"VÁLIDA"</formula>
    </cfRule>
  </conditionalFormatting>
  <conditionalFormatting sqref="N14 Q14 T14 W14 Z14 AC14 AF14 AI14 AL14 AO14 AR14 AU14 AX14 BA14 BD14 BG14 BJ14 BM14 BP14 BS14">
    <cfRule type="cellIs" dxfId="50" priority="41" operator="equal">
      <formula>"PARA REVISIÓN"</formula>
    </cfRule>
    <cfRule type="cellIs" dxfId="49" priority="42" operator="equal">
      <formula>"CUMPLE"</formula>
    </cfRule>
  </conditionalFormatting>
  <conditionalFormatting sqref="N15 Q15 T15 W15 Z15 AC15 AF15 AI15 AL15 AO15 AR15 AU15 AX15 BA15 BD15 BG15 BJ15 BM15 BP15 BS15">
    <cfRule type="cellIs" dxfId="48" priority="39" operator="equal">
      <formula>"NO VÁLIDA"</formula>
    </cfRule>
    <cfRule type="cellIs" dxfId="47" priority="40" operator="equal">
      <formula>"VÁLIDA"</formula>
    </cfRule>
  </conditionalFormatting>
  <conditionalFormatting sqref="N21 Q21 T21 W21 Z21 AC21 AF21 AI21 AL21 AO21 AR21 AU21 AX21 BA21 BD21 BG21 BJ21 BM21 BP21 BS21">
    <cfRule type="cellIs" dxfId="46" priority="37" operator="equal">
      <formula>"PARA REVISIÓN"</formula>
    </cfRule>
    <cfRule type="cellIs" dxfId="45" priority="38" operator="equal">
      <formula>"CUMPLE"</formula>
    </cfRule>
  </conditionalFormatting>
  <conditionalFormatting sqref="N22 Q22 T22 W22 Z22 AC22 AF22 AI22 AL22 AO22 AR22 AU22 AX22 BA22 BD22 BG22 BJ22 BM22 BP22 BS22">
    <cfRule type="cellIs" dxfId="44" priority="35" operator="equal">
      <formula>"NO VÁLIDA"</formula>
    </cfRule>
    <cfRule type="cellIs" dxfId="43" priority="36" operator="equal">
      <formula>"VÁLIDA"</formula>
    </cfRule>
  </conditionalFormatting>
  <conditionalFormatting sqref="N23 Q23 T23 W23 Z23 AC23 AF23 AI23 AL23 AO23 AR23 AU23 AX23 BA23 BD23 BG23 BJ23 BM23 BP23 BS23">
    <cfRule type="cellIs" dxfId="42" priority="33" operator="equal">
      <formula>"NO VÁLIDA"</formula>
    </cfRule>
    <cfRule type="cellIs" dxfId="41" priority="34" operator="equal">
      <formula>"VÁLIDA"</formula>
    </cfRule>
  </conditionalFormatting>
  <conditionalFormatting sqref="N40 Q40 T40 W40 Z40 AC40 AF40 AI40 AL40 AO40 AR40 AU40 AX40 BA40 BD40 BG40 BJ40 BM40 BP40 BS40">
    <cfRule type="cellIs" dxfId="40" priority="31" operator="equal">
      <formula>"NO VÁLIDA"</formula>
    </cfRule>
    <cfRule type="cellIs" dxfId="39" priority="32" operator="equal">
      <formula>"VÁLIDA"</formula>
    </cfRule>
  </conditionalFormatting>
  <conditionalFormatting sqref="N25 Q25 T25 W25 Z25 AC25 AF25 AI25 AL25 AO25 AR25 AU25 AX25 BA25 BD25 BG25 BJ25 BM25 BP25 BS25">
    <cfRule type="cellIs" dxfId="38" priority="29" operator="equal">
      <formula>"NO VÁLIDA"</formula>
    </cfRule>
    <cfRule type="cellIs" dxfId="37" priority="30" operator="equal">
      <formula>"VÁLIDA"</formula>
    </cfRule>
  </conditionalFormatting>
  <conditionalFormatting sqref="N24 Q24 T24 W24 Z24 AC24 AF24 AI24 AL24 AO24 AR24 AU24 AX24 BA24 BD24 BG24 BJ24 BM24 BP24 BS24">
    <cfRule type="cellIs" dxfId="36" priority="27" operator="equal">
      <formula>"PARA REVISIÓN"</formula>
    </cfRule>
    <cfRule type="cellIs" dxfId="35" priority="28" operator="equal">
      <formula>"CUMPLE"</formula>
    </cfRule>
  </conditionalFormatting>
  <conditionalFormatting sqref="N39 Q39 T39 W39 Z39 AC39 AF39 AI39 AL39 AO39 AR39 AU39 AX39 BA39 BD39 BG39 BJ39 BM39 BP39 BS39">
    <cfRule type="cellIs" dxfId="34" priority="25" operator="equal">
      <formula>"PARA REVISIÓN"</formula>
    </cfRule>
    <cfRule type="cellIs" dxfId="33" priority="26" operator="equal">
      <formula>"CUMPLE"</formula>
    </cfRule>
  </conditionalFormatting>
  <conditionalFormatting sqref="N51 Q51 T51 W51 Z51 AC51 AF51 AI51 AL51 AO51 AR51 AU51 AX51 BA51 BD51 BG51 BJ51 BM51 BP51 BS51">
    <cfRule type="cellIs" dxfId="32" priority="23" operator="equal">
      <formula>"NO VÁLIDA"</formula>
    </cfRule>
    <cfRule type="cellIs" dxfId="31" priority="24" operator="equal">
      <formula>"VÁLIDA"</formula>
    </cfRule>
  </conditionalFormatting>
  <conditionalFormatting sqref="N31 Q31 T31 W31 Z31 AC31 AF31 AI31 AL31 AO31 AR31 AU31 AX31 BA31 BD31 BG31 BJ31 BM31 BP31 BS31">
    <cfRule type="cellIs" dxfId="30" priority="21" operator="equal">
      <formula>"NO VÁLIDA"</formula>
    </cfRule>
    <cfRule type="cellIs" dxfId="29" priority="22" operator="equal">
      <formula>"VÁLIDA"</formula>
    </cfRule>
  </conditionalFormatting>
  <conditionalFormatting sqref="N34 Q34 T34 W34 Z34 AC34 AF34 AI34 AL34 AO34 AR34 AU34 AX34 BA34 BD34 BG34 BJ34 BM34 BP34 BS34">
    <cfRule type="cellIs" dxfId="28" priority="19" operator="equal">
      <formula>"NO VÁLIDA"</formula>
    </cfRule>
    <cfRule type="cellIs" dxfId="27" priority="20" operator="equal">
      <formula>"VÁLIDA"</formula>
    </cfRule>
  </conditionalFormatting>
  <conditionalFormatting sqref="N30 Q30 T30 W30 Z30 AC30 AF30 AI30 AL30 AO30 AR30 AU30 AX30 BA30 BD30 BG30 BJ30 BM30 BP30 BS30">
    <cfRule type="cellIs" dxfId="26" priority="17" operator="equal">
      <formula>"PARA REVISIÓN"</formula>
    </cfRule>
    <cfRule type="cellIs" dxfId="25" priority="18" operator="equal">
      <formula>"CUMPLE"</formula>
    </cfRule>
  </conditionalFormatting>
  <conditionalFormatting sqref="N41 Q41 T41 W41 Z41 AC41 AF41 AI41 AL41 AO41 AR41 AU41 AX41 BA41 BD41 BG41 BJ41 BM41 BP41 BS41">
    <cfRule type="cellIs" dxfId="24" priority="15" operator="equal">
      <formula>"NO VÁLIDA"</formula>
    </cfRule>
    <cfRule type="cellIs" dxfId="23" priority="16" operator="equal">
      <formula>"VÁLIDA"</formula>
    </cfRule>
  </conditionalFormatting>
  <conditionalFormatting sqref="N42 Q42 T42 W42 Z42 AC42 AF42 AI42 AL42 AO42 AR42 AU42 AX42 BA42 BD42 BG42 BJ42 BM42 BP42 BS42">
    <cfRule type="cellIs" dxfId="22" priority="13" operator="equal">
      <formula>"NO VÁLIDA"</formula>
    </cfRule>
    <cfRule type="cellIs" dxfId="21" priority="14" operator="equal">
      <formula>"VÁLIDA"</formula>
    </cfRule>
  </conditionalFormatting>
  <conditionalFormatting sqref="N45 Q45 T45 W45 Z45 AC45 AF45 AI45 AL45 AO45 AR45 AU45 AX45 BA45 BD45 BG45 BJ45 BM45 BP45 BS45">
    <cfRule type="cellIs" dxfId="20" priority="11" operator="equal">
      <formula>"PARA REVISIÓN"</formula>
    </cfRule>
    <cfRule type="cellIs" dxfId="19" priority="12" operator="equal">
      <formula>"CUMPLE"</formula>
    </cfRule>
  </conditionalFormatting>
  <conditionalFormatting sqref="N52 Q52 T52 W52 Z52 AC52 AF52 AI52 AL52 AO52 AR52 AU52 AX52 BA52 BD52 BG52 BJ52 BM52 BP52 BS52">
    <cfRule type="cellIs" dxfId="18" priority="9" operator="equal">
      <formula>"NO VÁLIDA"</formula>
    </cfRule>
    <cfRule type="cellIs" dxfId="17" priority="10" operator="equal">
      <formula>"VÁLIDA"</formula>
    </cfRule>
  </conditionalFormatting>
  <conditionalFormatting sqref="N36 Q36 T36 W36 Z36 AC36 AF36 AI36 AL36 AO36 AR36 AU36 AX36 BA36 BD36 BG36 BJ36 BM36 BP36 BS36">
    <cfRule type="cellIs" dxfId="16" priority="7" operator="equal">
      <formula>"NO VÁLIDA"</formula>
    </cfRule>
    <cfRule type="cellIs" dxfId="15" priority="8" operator="equal">
      <formula>"VÁLIDA"</formula>
    </cfRule>
  </conditionalFormatting>
  <conditionalFormatting sqref="N38 Q38 T38 W38 Z38 AC38 AF38 AI38 AL38 AO38 AR38 AU38 AX38 BA38 BD38 BG38 BJ38 BM38 BP38 BS38">
    <cfRule type="cellIs" dxfId="14" priority="5" operator="equal">
      <formula>"NO VÁLIDA"</formula>
    </cfRule>
    <cfRule type="cellIs" dxfId="13" priority="6" operator="equal">
      <formula>"VÁLIDA"</formula>
    </cfRule>
  </conditionalFormatting>
  <conditionalFormatting sqref="N35 Q35 T35 W35 Z35 AC35 AF35 AI35 AL35 AO35 AR35 AU35 AX35 BA35 BD35 BG35 BJ35 BM35 BP35 BS35">
    <cfRule type="cellIs" dxfId="12" priority="3" operator="equal">
      <formula>"PARA REVISIÓN"</formula>
    </cfRule>
    <cfRule type="cellIs" dxfId="11" priority="4" operator="equal">
      <formula>"CUMPLE"</formula>
    </cfRule>
  </conditionalFormatting>
  <conditionalFormatting sqref="N26:N28 Q26:Q28 T26:T28 W26:W28 Z26:Z28 AC26:AC28 AF26:AF28 AI26:AI28 AL26:AL28 AO26:AO28 AR26:AR28 AU26:AU28 AX26:AX28 BA26:BA28 BD26:BD28 BG26:BG28 BJ26:BJ28 BM26:BM28 BP26:BP28 BS26:BS28">
    <cfRule type="cellIs" dxfId="10" priority="1" operator="equal">
      <formula>"NO VÁLIDA"</formula>
    </cfRule>
    <cfRule type="cellIs" dxfId="9"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
&amp;A&amp;C&amp;P de &amp;N&amp;R&amp;9INSTITUTO NACIONAL DE VIAS
&amp;D</oddFooter>
  </headerFooter>
  <ignoredErrors>
    <ignoredError sqref="H55:H59 I55:K5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94"/>
  <sheetViews>
    <sheetView showGridLines="0" tabSelected="1" topLeftCell="E1" zoomScale="90" zoomScaleNormal="90" workbookViewId="0">
      <selection activeCell="O27" sqref="O27"/>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0.7109375"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12" t="str">
        <f>RESUMEN!B1</f>
        <v>FIDUPREVISORA</v>
      </c>
      <c r="C1" s="312"/>
      <c r="D1" s="312"/>
      <c r="E1" s="312"/>
      <c r="F1" s="312"/>
      <c r="G1" s="312"/>
      <c r="H1" s="312"/>
    </row>
    <row r="2" spans="2:17" x14ac:dyDescent="0.2">
      <c r="B2" s="313"/>
      <c r="C2" s="313"/>
      <c r="D2" s="313"/>
      <c r="E2" s="313"/>
      <c r="F2" s="313"/>
      <c r="G2" s="313"/>
      <c r="H2" s="313"/>
    </row>
    <row r="3" spans="2:17" x14ac:dyDescent="0.2">
      <c r="B3" s="313" t="str">
        <f>RESUMEN!B3</f>
        <v>PATRIMONIO AUTÓNOMO FIDEICOMISO ECOPETROL ZOMAC (en adelante PATRIMONIO AUTÓNOMO) FIDUCIARIA LA PREVISORA S.A.</v>
      </c>
      <c r="C3" s="313"/>
      <c r="D3" s="313"/>
      <c r="E3" s="313"/>
      <c r="F3" s="313"/>
      <c r="G3" s="313"/>
      <c r="H3" s="313"/>
    </row>
    <row r="4" spans="2:17" x14ac:dyDescent="0.2">
      <c r="B4" s="313"/>
      <c r="C4" s="313"/>
      <c r="D4" s="313"/>
      <c r="E4" s="313"/>
      <c r="F4" s="313"/>
      <c r="G4" s="313"/>
      <c r="H4" s="313"/>
    </row>
    <row r="5" spans="2:17" x14ac:dyDescent="0.2">
      <c r="B5" s="313" t="str">
        <f>RESUMEN!B5</f>
        <v>LICITACIÓN PRIVADA ABIERTA N° 006 DE 2018</v>
      </c>
      <c r="C5" s="313"/>
      <c r="D5" s="313"/>
      <c r="E5" s="313"/>
      <c r="F5" s="313"/>
      <c r="G5" s="313"/>
      <c r="H5" s="313"/>
    </row>
    <row r="6" spans="2:17" ht="15.75" x14ac:dyDescent="0.2">
      <c r="B6" s="49"/>
      <c r="C6" s="49"/>
      <c r="D6" s="44"/>
      <c r="E6" s="44"/>
      <c r="F6" s="44"/>
      <c r="G6" s="44"/>
      <c r="H6" s="44"/>
    </row>
    <row r="7" spans="2:17" x14ac:dyDescent="0.2">
      <c r="B7" s="313" t="str">
        <f>RESUMEN!B7</f>
        <v>PROYECTO No. 2: REHABILITACIÓN DE LA VIA TAME - COROCORO (6605), COROCORO - ARAUCA (6606). DEPARTAMENTO DE ARAUCA VINCULADOS AL CONTRIBUYENTE ECOPETROL S.A. DENTRO DEL MARCO DEL MECANISMO DE OBRAS POR IMPUESTOS</v>
      </c>
      <c r="C7" s="313"/>
      <c r="D7" s="313"/>
      <c r="E7" s="313"/>
      <c r="F7" s="313"/>
      <c r="G7" s="313"/>
      <c r="H7" s="313"/>
    </row>
    <row r="8" spans="2:17" ht="15.75" x14ac:dyDescent="0.2">
      <c r="B8" s="49"/>
      <c r="C8" s="49"/>
      <c r="D8" s="44"/>
      <c r="E8" s="44"/>
      <c r="F8" s="44"/>
      <c r="G8" s="44"/>
      <c r="H8" s="44"/>
    </row>
    <row r="9" spans="2:17" ht="15.75" customHeight="1" x14ac:dyDescent="0.2">
      <c r="B9" s="330" t="s">
        <v>22</v>
      </c>
      <c r="C9" s="330"/>
      <c r="D9" s="330"/>
      <c r="E9" s="330"/>
      <c r="F9" s="330"/>
      <c r="G9" s="330"/>
      <c r="H9" s="330"/>
    </row>
    <row r="10" spans="2:17" ht="16.5" customHeight="1" x14ac:dyDescent="0.2">
      <c r="B10" s="363" t="s">
        <v>23</v>
      </c>
      <c r="C10" s="363"/>
      <c r="D10" s="363"/>
      <c r="E10" s="363"/>
      <c r="F10" s="363"/>
      <c r="G10" s="363"/>
      <c r="H10" s="363"/>
      <c r="Q10"/>
    </row>
    <row r="11" spans="2:17" ht="16.5" thickBot="1" x14ac:dyDescent="0.25">
      <c r="B11" s="50"/>
      <c r="C11" s="50"/>
      <c r="D11" s="44"/>
      <c r="E11" s="44"/>
      <c r="F11" s="44"/>
      <c r="G11" s="44"/>
      <c r="H11" s="44"/>
    </row>
    <row r="12" spans="2:17" ht="15.75" thickBot="1" x14ac:dyDescent="0.25">
      <c r="B12" s="382" t="s">
        <v>40</v>
      </c>
      <c r="C12" s="383"/>
      <c r="D12" s="383"/>
      <c r="E12" s="383"/>
      <c r="F12" s="383"/>
      <c r="G12" s="383"/>
      <c r="H12" s="384"/>
      <c r="O12" s="277" t="s">
        <v>111</v>
      </c>
    </row>
    <row r="13" spans="2:17" ht="13.5" thickBot="1" x14ac:dyDescent="0.25">
      <c r="B13" s="86" t="s">
        <v>89</v>
      </c>
      <c r="C13" s="87"/>
      <c r="D13" s="88"/>
      <c r="E13" s="88"/>
      <c r="F13" s="88"/>
      <c r="G13" s="119" t="s">
        <v>41</v>
      </c>
      <c r="H13" s="120">
        <v>3196.3</v>
      </c>
      <c r="O13" s="195">
        <v>3</v>
      </c>
    </row>
    <row r="14" spans="2:17" ht="13.5" thickBot="1" x14ac:dyDescent="0.25">
      <c r="B14" s="89"/>
      <c r="C14" s="87"/>
      <c r="D14" s="88"/>
      <c r="E14" s="88"/>
      <c r="F14" s="88"/>
      <c r="G14" s="119" t="s">
        <v>42</v>
      </c>
      <c r="H14" s="121">
        <f>100*(H13-INT(H13))</f>
        <v>30.00000000001819</v>
      </c>
    </row>
    <row r="15" spans="2:17" ht="15.75" thickBot="1" x14ac:dyDescent="0.25">
      <c r="B15" s="90" t="s">
        <v>74</v>
      </c>
      <c r="C15" s="91"/>
      <c r="D15" s="92"/>
      <c r="E15" s="393" t="str">
        <f>IF(OR($O$13=1,$O$16="NO APLICA"),IF(AND(H14&gt;=0,H14&lt;=33),"MEDIA ARITMETICA",IF(AND(H14&gt;=34,H14&lt;=66),"MEDIA ARITMETICA ALTA",IF(AND(H14&gt;=67,H14&lt;=99),"MEDIA GEOMETRICA CON PRESUPUESTO ESTIMADO","MENOR VALOR"))),IF(O16="MEDIA ARITMÉTICA","MEDIA ARITMETICA ALTA",IF(O16="MEDIA ARITMÉTICA ALTA","MEDIA GEOMETRICA CON PRESUPUESTO ESTIMADO",IF(O16="MEDIA GEOMÉTRICA CON PRESUPUESTO ESTIMADO","MEDIA ARITMETICA"))))</f>
        <v>MEDIA ARITMETICA ALTA</v>
      </c>
      <c r="F15" s="393"/>
      <c r="G15" s="393"/>
      <c r="H15" s="394"/>
      <c r="O15" s="277" t="s">
        <v>84</v>
      </c>
    </row>
    <row r="16" spans="2:17" ht="16.5" thickBot="1" x14ac:dyDescent="0.25">
      <c r="B16" s="50"/>
      <c r="C16" s="50"/>
      <c r="D16" s="44"/>
      <c r="E16" s="44"/>
      <c r="F16" s="44"/>
      <c r="G16" s="44"/>
      <c r="H16" s="44"/>
      <c r="O16" s="195" t="s">
        <v>86</v>
      </c>
    </row>
    <row r="17" spans="2:16" ht="15.6" customHeight="1" x14ac:dyDescent="0.2">
      <c r="B17" s="382" t="s">
        <v>43</v>
      </c>
      <c r="C17" s="383"/>
      <c r="D17" s="383"/>
      <c r="E17" s="383"/>
      <c r="F17" s="383"/>
      <c r="G17" s="383"/>
      <c r="H17" s="384"/>
    </row>
    <row r="18" spans="2:16" outlineLevel="1" x14ac:dyDescent="0.2">
      <c r="B18" s="89"/>
      <c r="C18" s="97"/>
      <c r="D18" s="93"/>
      <c r="E18" s="94"/>
      <c r="F18" s="94"/>
      <c r="G18" s="97" t="s">
        <v>44</v>
      </c>
      <c r="H18" s="105">
        <f>COUNT(E44:E64)</f>
        <v>12</v>
      </c>
    </row>
    <row r="19" spans="2:16" outlineLevel="1" x14ac:dyDescent="0.2">
      <c r="B19" s="98"/>
      <c r="C19" s="97"/>
      <c r="D19" s="93"/>
      <c r="E19" s="94"/>
      <c r="F19" s="94"/>
      <c r="G19" s="97" t="s">
        <v>48</v>
      </c>
      <c r="H19" s="108">
        <f>IF(H18=0,0,MIN(E44:E64))</f>
        <v>20321272708</v>
      </c>
    </row>
    <row r="20" spans="2:16" outlineLevel="1" x14ac:dyDescent="0.2">
      <c r="B20" s="98"/>
      <c r="C20" s="97"/>
      <c r="D20" s="93"/>
      <c r="E20" s="94"/>
      <c r="F20" s="94"/>
      <c r="G20" s="97" t="s">
        <v>49</v>
      </c>
      <c r="H20" s="108">
        <f>IF(H18=0,0,MAX(E44:E64))</f>
        <v>20865946769</v>
      </c>
    </row>
    <row r="21" spans="2:16" outlineLevel="1" x14ac:dyDescent="0.2">
      <c r="B21" s="89"/>
      <c r="C21" s="99"/>
      <c r="D21" s="93"/>
      <c r="E21" s="94"/>
      <c r="F21" s="94"/>
      <c r="G21" s="97" t="s">
        <v>55</v>
      </c>
      <c r="H21" s="108">
        <f>IF(H18=0,0,AVERAGE(E44:E64))</f>
        <v>20654326477.916668</v>
      </c>
    </row>
    <row r="22" spans="2:16" outlineLevel="1" x14ac:dyDescent="0.2">
      <c r="B22" s="89"/>
      <c r="C22" s="99"/>
      <c r="D22" s="93"/>
      <c r="E22" s="94"/>
      <c r="F22" s="94"/>
      <c r="G22" s="97" t="s">
        <v>56</v>
      </c>
      <c r="H22" s="108">
        <f>IF(H18=0,0,MEDIAN(E44:E64))</f>
        <v>20690357059</v>
      </c>
    </row>
    <row r="23" spans="2:16" outlineLevel="1" x14ac:dyDescent="0.2">
      <c r="B23" s="89"/>
      <c r="C23" s="99"/>
      <c r="D23" s="93"/>
      <c r="E23" s="94"/>
      <c r="F23" s="94"/>
      <c r="G23" s="97" t="s">
        <v>57</v>
      </c>
      <c r="H23" s="108">
        <f>IF(OR(H18=0,H18=1),0,STDEV(E44:E64))</f>
        <v>194069059.35943812</v>
      </c>
    </row>
    <row r="24" spans="2:16" outlineLevel="1" x14ac:dyDescent="0.2">
      <c r="B24" s="100"/>
      <c r="C24" s="101"/>
      <c r="D24" s="93"/>
      <c r="E24" s="94"/>
      <c r="F24" s="94"/>
      <c r="G24" s="97" t="s">
        <v>58</v>
      </c>
      <c r="H24" s="108">
        <f>'VR-PROP'!$H$54</f>
        <v>20868319391</v>
      </c>
    </row>
    <row r="25" spans="2:16" ht="13.5" outlineLevel="1" thickBot="1" x14ac:dyDescent="0.25">
      <c r="B25" s="102"/>
      <c r="C25" s="103"/>
      <c r="D25" s="95"/>
      <c r="E25" s="96"/>
      <c r="F25" s="96"/>
      <c r="G25" s="104" t="s">
        <v>45</v>
      </c>
      <c r="H25" s="106">
        <v>900</v>
      </c>
    </row>
    <row r="26" spans="2:16" customFormat="1" ht="13.5" outlineLevel="1" thickBot="1" x14ac:dyDescent="0.25">
      <c r="O26" s="192"/>
      <c r="P26" s="192"/>
    </row>
    <row r="27" spans="2:16" ht="16.149999999999999" customHeight="1" outlineLevel="1" x14ac:dyDescent="0.2">
      <c r="B27" s="366" t="s">
        <v>59</v>
      </c>
      <c r="C27" s="367"/>
      <c r="D27" s="367"/>
      <c r="E27" s="367"/>
      <c r="F27" s="367"/>
      <c r="G27" s="367"/>
      <c r="H27" s="368"/>
    </row>
    <row r="28" spans="2:16" outlineLevel="1" x14ac:dyDescent="0.2">
      <c r="B28" s="385" t="s">
        <v>46</v>
      </c>
      <c r="C28" s="386"/>
      <c r="D28" s="386"/>
      <c r="E28" s="386"/>
      <c r="F28" s="386"/>
      <c r="G28" s="387"/>
      <c r="H28" s="107">
        <f>H21</f>
        <v>20654326477.916668</v>
      </c>
    </row>
    <row r="29" spans="2:16" ht="15" outlineLevel="1" x14ac:dyDescent="0.2">
      <c r="B29" s="369" t="s">
        <v>60</v>
      </c>
      <c r="C29" s="370"/>
      <c r="D29" s="370"/>
      <c r="E29" s="370"/>
      <c r="F29" s="370"/>
      <c r="G29" s="370"/>
      <c r="H29" s="371"/>
    </row>
    <row r="30" spans="2:16" outlineLevel="1" x14ac:dyDescent="0.2">
      <c r="B30" s="385" t="s">
        <v>47</v>
      </c>
      <c r="C30" s="386"/>
      <c r="D30" s="386"/>
      <c r="E30" s="386"/>
      <c r="F30" s="386"/>
      <c r="G30" s="387"/>
      <c r="H30" s="107">
        <f>AVERAGE(H20,H21)</f>
        <v>20760136623.458336</v>
      </c>
    </row>
    <row r="31" spans="2:16" ht="15" outlineLevel="1" x14ac:dyDescent="0.2">
      <c r="B31" s="369" t="s">
        <v>115</v>
      </c>
      <c r="C31" s="370"/>
      <c r="D31" s="370"/>
      <c r="E31" s="370"/>
      <c r="F31" s="370"/>
      <c r="G31" s="370"/>
      <c r="H31" s="371"/>
    </row>
    <row r="32" spans="2:16" outlineLevel="1" x14ac:dyDescent="0.2">
      <c r="B32" s="385" t="s">
        <v>116</v>
      </c>
      <c r="C32" s="386"/>
      <c r="D32" s="386"/>
      <c r="E32" s="386"/>
      <c r="F32" s="386"/>
      <c r="G32" s="387"/>
      <c r="H32" s="107">
        <f>IF(H18=0,0,ROUNDUP(H18/3,0))</f>
        <v>4</v>
      </c>
    </row>
    <row r="33" spans="2:34" ht="13.5" hidden="1" outlineLevel="1" x14ac:dyDescent="0.2">
      <c r="B33" s="385" t="s">
        <v>75</v>
      </c>
      <c r="C33" s="386"/>
      <c r="D33" s="386"/>
      <c r="E33" s="386"/>
      <c r="F33" s="386"/>
      <c r="G33" s="387"/>
      <c r="H33" s="109">
        <f>IF(H18=0,0,PRODUCT(F44:F64))</f>
        <v>6024496708450870</v>
      </c>
      <c r="I33" s="149"/>
    </row>
    <row r="34" spans="2:34" ht="13.5" hidden="1" outlineLevel="1" x14ac:dyDescent="0.2">
      <c r="B34" s="385" t="s">
        <v>76</v>
      </c>
      <c r="C34" s="386"/>
      <c r="D34" s="386"/>
      <c r="E34" s="386"/>
      <c r="F34" s="386"/>
      <c r="G34" s="387"/>
      <c r="H34" s="109">
        <f>POWER(H24/1000000000,H32)</f>
        <v>189648.71308782024</v>
      </c>
      <c r="I34" s="149"/>
    </row>
    <row r="35" spans="2:34" ht="13.15" customHeight="1" outlineLevel="1" thickBot="1" x14ac:dyDescent="0.25">
      <c r="B35" s="390" t="s">
        <v>117</v>
      </c>
      <c r="C35" s="391"/>
      <c r="D35" s="391"/>
      <c r="E35" s="391"/>
      <c r="F35" s="391"/>
      <c r="G35" s="392"/>
      <c r="H35" s="110">
        <f>IF(H18=0,0,1000000000*POWER(H33*H34,1/(H18+H32)))</f>
        <v>20706987291.829376</v>
      </c>
      <c r="I35" s="15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388" t="s">
        <v>61</v>
      </c>
      <c r="C38" s="389"/>
      <c r="D38" s="389"/>
      <c r="E38" s="372" t="str">
        <f>E15</f>
        <v>MEDIA ARITMETICA ALTA</v>
      </c>
      <c r="F38" s="372"/>
      <c r="G38" s="372"/>
      <c r="H38" s="281">
        <f>IF(E38="MEDIA ARITMETICA",H28,IF(E38="MEDIA ARITMETICA ALTA",H30,IF(E38="MEDIA GEOMETRICA CON PRESUPUESTO ESTIMADO",H35,IF(E38="MENOR VALOR",#REF!,""))))</f>
        <v>20760136623.458336</v>
      </c>
      <c r="I38" s="148"/>
      <c r="O38" s="193"/>
      <c r="P38" s="193"/>
    </row>
    <row r="39" spans="2:34" ht="15.75" x14ac:dyDescent="0.25">
      <c r="B39" s="82"/>
      <c r="C39" s="82"/>
      <c r="D39" s="82"/>
      <c r="E39" s="83"/>
      <c r="F39" s="83"/>
      <c r="G39" s="44"/>
      <c r="H39" s="44"/>
      <c r="I39"/>
    </row>
    <row r="40" spans="2:34" ht="16.5" thickBot="1" x14ac:dyDescent="0.25">
      <c r="B40" s="50"/>
      <c r="C40" s="50"/>
      <c r="D40" s="44"/>
      <c r="E40" s="44"/>
      <c r="F40" s="44"/>
      <c r="G40" s="44"/>
      <c r="H40" s="44"/>
    </row>
    <row r="41" spans="2:34" ht="15" x14ac:dyDescent="0.2">
      <c r="B41" s="373" t="s">
        <v>63</v>
      </c>
      <c r="C41" s="374"/>
      <c r="D41" s="374"/>
      <c r="E41" s="374"/>
      <c r="F41" s="374"/>
      <c r="G41" s="374"/>
      <c r="H41" s="375"/>
    </row>
    <row r="42" spans="2:34" ht="60" outlineLevel="1" x14ac:dyDescent="0.2">
      <c r="B42" s="397" t="s">
        <v>36</v>
      </c>
      <c r="C42" s="399" t="s">
        <v>11</v>
      </c>
      <c r="D42" s="401" t="s">
        <v>5</v>
      </c>
      <c r="E42" s="282" t="s">
        <v>112</v>
      </c>
      <c r="F42" s="282" t="s">
        <v>24</v>
      </c>
      <c r="G42" s="282" t="s">
        <v>26</v>
      </c>
      <c r="H42" s="283" t="s">
        <v>4</v>
      </c>
      <c r="I42" s="376" t="s">
        <v>54</v>
      </c>
      <c r="J42" s="364" t="s">
        <v>50</v>
      </c>
      <c r="K42" s="364" t="s">
        <v>51</v>
      </c>
      <c r="L42" s="364" t="s">
        <v>52</v>
      </c>
      <c r="M42" s="364" t="s">
        <v>53</v>
      </c>
      <c r="AE42" s="43" t="str">
        <f>UPPER(Q42)</f>
        <v/>
      </c>
      <c r="AF42" s="43" t="str">
        <f>UPPER(R42)</f>
        <v/>
      </c>
      <c r="AG42" s="43" t="str">
        <f>UPPER(S42)</f>
        <v/>
      </c>
      <c r="AH42" s="43" t="str">
        <f>UPPER(T42)</f>
        <v/>
      </c>
    </row>
    <row r="43" spans="2:34" ht="22.5" customHeight="1" outlineLevel="1" thickBot="1" x14ac:dyDescent="0.25">
      <c r="B43" s="398"/>
      <c r="C43" s="400"/>
      <c r="D43" s="402"/>
      <c r="E43" s="284" t="s">
        <v>25</v>
      </c>
      <c r="F43" s="284" t="s">
        <v>77</v>
      </c>
      <c r="G43" s="284" t="s">
        <v>13</v>
      </c>
      <c r="H43" s="285" t="s">
        <v>62</v>
      </c>
      <c r="I43" s="377"/>
      <c r="J43" s="365"/>
      <c r="K43" s="365"/>
      <c r="L43" s="365"/>
      <c r="M43" s="365"/>
    </row>
    <row r="44" spans="2:34" ht="26.25" customHeight="1" outlineLevel="1" x14ac:dyDescent="0.2">
      <c r="B44" s="173">
        <v>1</v>
      </c>
      <c r="C44" s="174">
        <f>RESUMEN!C15</f>
        <v>1</v>
      </c>
      <c r="D44" s="175" t="str">
        <f>VLOOKUP(C44,RESUMEN!$C$15:$D$35,2,0)</f>
        <v>CONSORCIO ZOMAC ARAUCA</v>
      </c>
      <c r="E44" s="176">
        <f>IF(ISTEXT('VR-PROP'!$J$54),"DESCARTADO",'VR-PROP'!$J$54)</f>
        <v>20862654498</v>
      </c>
      <c r="F44" s="177">
        <f>IF(ISTEXT(E44),"",E44/1000000000)</f>
        <v>20.862654498000001</v>
      </c>
      <c r="G44" s="219">
        <f>IF(E44="DESCARTADO","DESCARTADO",(E44/$H$24)-1)</f>
        <v>-2.7145899455816025E-4</v>
      </c>
      <c r="H44" s="198">
        <f>IF(E44="DESCARTADO","DESCARTADO",IF(E44&lt;=$H$38,$H$25*(1-($H$38-E44)/$H$38),$H$25*(1-2*ABS($H$38-E44)/$H$38)))</f>
        <v>891.11122544509271</v>
      </c>
      <c r="I44" s="84">
        <f t="shared" ref="I44:I60" si="0">IF(ISTEXT(E44),"",E44/$H$24)</f>
        <v>0.99972854100544184</v>
      </c>
      <c r="J44" s="85">
        <f t="shared" ref="J44:J60" si="1">IF(ISTEXT(E44),"",E44/$H$28)</f>
        <v>1.0100864107239746</v>
      </c>
      <c r="K44" s="85">
        <f t="shared" ref="K44:K60" si="2">IF(ISTEXT(E44),"",E44/$H$30)</f>
        <v>1.0049382080860596</v>
      </c>
      <c r="L44" s="85">
        <f>IF(ISTEXT(E44),"",E44/$H$35)</f>
        <v>1.0075176173132654</v>
      </c>
      <c r="M44" s="85" t="e">
        <f>IF(ISTEXT(E44),"",E44/#REF!)</f>
        <v>#REF!</v>
      </c>
      <c r="N44" s="234">
        <f t="shared" ref="N44:N64" si="3">IF(E44="DESCARTADO","",COUNTIF($E$44:$E$64,E44))</f>
        <v>1</v>
      </c>
      <c r="O44" s="235" t="e">
        <f>IF(E44="DESCARTADO","",ABS(E44-E45))</f>
        <v>#VALUE!</v>
      </c>
      <c r="P44" s="217"/>
    </row>
    <row r="45" spans="2:34" ht="26.25" customHeight="1" outlineLevel="1" x14ac:dyDescent="0.2">
      <c r="B45" s="178">
        <v>2</v>
      </c>
      <c r="C45" s="179">
        <f>RESUMEN!C16</f>
        <v>3</v>
      </c>
      <c r="D45" s="180" t="str">
        <f>VLOOKUP(C45,RESUMEN!$C$15:$D$35,2,0)</f>
        <v>CONSORCIO VÍA COROCORO</v>
      </c>
      <c r="E45" s="181" t="str">
        <f>IF(ISTEXT('VR-PROP'!$M$54),"DESCARTADO",'VR-PROP'!$M$54)</f>
        <v>DESCARTADO</v>
      </c>
      <c r="F45" s="182" t="str">
        <f t="shared" ref="F45:F64" si="4">IF(ISTEXT(E45),"",E45/1000000000)</f>
        <v/>
      </c>
      <c r="G45" s="220" t="str">
        <f t="shared" ref="G45:G64" si="5">IF(E45="DESCARTADO","DESCARTADO",(E45/$H$24)-1)</f>
        <v>DESCARTADO</v>
      </c>
      <c r="H45" s="198" t="str">
        <f t="shared" ref="H45:H64" si="6">IF(E45="DESCARTADO","DESCARTADO",IF(E45&lt;=$H$38,$H$25*(1-($H$38-E45)/$H$38),$H$25*(1-2*ABS($H$38-E45)/$H$38)))</f>
        <v>DESCARTADO</v>
      </c>
      <c r="I45" s="84" t="str">
        <f t="shared" si="0"/>
        <v/>
      </c>
      <c r="J45" s="85" t="str">
        <f t="shared" si="1"/>
        <v/>
      </c>
      <c r="K45" s="85" t="str">
        <f t="shared" si="2"/>
        <v/>
      </c>
      <c r="L45" s="85" t="str">
        <f t="shared" ref="L45:L60" si="7">IF(ISTEXT(E45),"",E45/$H$35)</f>
        <v/>
      </c>
      <c r="M45" s="85" t="str">
        <f>IF(ISTEXT(E45),"",E45/#REF!)</f>
        <v/>
      </c>
      <c r="N45" s="234" t="str">
        <f t="shared" si="3"/>
        <v/>
      </c>
      <c r="O45" s="235" t="str">
        <f t="shared" ref="O45:O63" si="8">IF(E45="DESCARTADO","",ABS(E45-E46))</f>
        <v/>
      </c>
      <c r="P45" s="217"/>
    </row>
    <row r="46" spans="2:34" ht="26.25" customHeight="1" outlineLevel="1" x14ac:dyDescent="0.2">
      <c r="B46" s="178">
        <v>3</v>
      </c>
      <c r="C46" s="179">
        <f>RESUMEN!C17</f>
        <v>4</v>
      </c>
      <c r="D46" s="180" t="str">
        <f>VLOOKUP(C46,RESUMEN!$C$15:$D$35,2,0)</f>
        <v>MAQUINARIA INGENIERIA CONSTRUCCIÓN Y OBRAS S.A.S</v>
      </c>
      <c r="E46" s="181">
        <f>IF(ISTEXT('VR-PROP'!$P$54),"DESCARTADO",'VR-PROP'!$P$54)</f>
        <v>20842067656</v>
      </c>
      <c r="F46" s="182">
        <f t="shared" si="4"/>
        <v>20.842067656000001</v>
      </c>
      <c r="G46" s="220">
        <f t="shared" si="5"/>
        <v>-1.2579707310461652E-3</v>
      </c>
      <c r="H46" s="198">
        <f t="shared" si="6"/>
        <v>892.89619999858996</v>
      </c>
      <c r="I46" s="84">
        <f t="shared" si="0"/>
        <v>0.99874202926895383</v>
      </c>
      <c r="J46" s="85">
        <f t="shared" si="1"/>
        <v>1.0090896780528797</v>
      </c>
      <c r="K46" s="85">
        <f t="shared" si="2"/>
        <v>1.0039465555563389</v>
      </c>
      <c r="L46" s="85">
        <f t="shared" si="7"/>
        <v>1.006523419475122</v>
      </c>
      <c r="M46" s="85" t="e">
        <f>IF(ISTEXT(E46),"",E46/#REF!)</f>
        <v>#REF!</v>
      </c>
      <c r="N46" s="234">
        <f t="shared" si="3"/>
        <v>1</v>
      </c>
      <c r="O46" s="235">
        <f t="shared" si="8"/>
        <v>402552822</v>
      </c>
      <c r="P46" s="217"/>
    </row>
    <row r="47" spans="2:34" ht="26.25" customHeight="1" outlineLevel="1" x14ac:dyDescent="0.2">
      <c r="B47" s="178">
        <v>4</v>
      </c>
      <c r="C47" s="179">
        <f>RESUMEN!C18</f>
        <v>5</v>
      </c>
      <c r="D47" s="180" t="str">
        <f>VLOOKUP(C47,RESUMEN!$C$15:$D$35,2,0)</f>
        <v>EQUIPOS Y TRITURADOS S.A.S</v>
      </c>
      <c r="E47" s="181">
        <f>IF(ISTEXT('VR-PROP'!$S$54),"DESCARTADO",'VR-PROP'!$S$54)</f>
        <v>20439514834</v>
      </c>
      <c r="F47" s="182">
        <f t="shared" si="4"/>
        <v>20.439514834000001</v>
      </c>
      <c r="G47" s="220">
        <f t="shared" si="5"/>
        <v>-2.0548111659865254E-2</v>
      </c>
      <c r="H47" s="198">
        <f t="shared" si="6"/>
        <v>886.10030291484509</v>
      </c>
      <c r="I47" s="84">
        <f t="shared" si="0"/>
        <v>0.97945188834013475</v>
      </c>
      <c r="J47" s="85">
        <f t="shared" si="1"/>
        <v>0.98959967810393901</v>
      </c>
      <c r="K47" s="85">
        <f t="shared" si="2"/>
        <v>0.98455589212760564</v>
      </c>
      <c r="L47" s="85">
        <f t="shared" si="7"/>
        <v>0.98708298536818462</v>
      </c>
      <c r="M47" s="85" t="e">
        <f>IF(ISTEXT(E47),"",E47/#REF!)</f>
        <v>#REF!</v>
      </c>
      <c r="N47" s="234">
        <f t="shared" si="3"/>
        <v>1</v>
      </c>
      <c r="O47" s="235">
        <f t="shared" si="8"/>
        <v>273063343</v>
      </c>
      <c r="P47" s="217"/>
    </row>
    <row r="48" spans="2:34" ht="26.25" customHeight="1" outlineLevel="1" x14ac:dyDescent="0.2">
      <c r="B48" s="178">
        <v>5</v>
      </c>
      <c r="C48" s="179">
        <f>RESUMEN!C19</f>
        <v>6</v>
      </c>
      <c r="D48" s="180" t="str">
        <f>VLOOKUP(C48,RESUMEN!$C$15:$D$35,2,0)</f>
        <v>INGECON S.A</v>
      </c>
      <c r="E48" s="181">
        <f>IF(ISTEXT('VR-PROP'!$V$54),"DESCARTADO",'VR-PROP'!$V$54)</f>
        <v>20712578177</v>
      </c>
      <c r="F48" s="182">
        <f t="shared" si="4"/>
        <v>20.712578177000001</v>
      </c>
      <c r="G48" s="220">
        <f t="shared" si="5"/>
        <v>-7.4630453503202743E-3</v>
      </c>
      <c r="H48" s="198">
        <f t="shared" si="6"/>
        <v>897.93823120777836</v>
      </c>
      <c r="I48" s="84">
        <f t="shared" si="0"/>
        <v>0.99253695464967973</v>
      </c>
      <c r="J48" s="85">
        <f t="shared" si="1"/>
        <v>1.0028203146273307</v>
      </c>
      <c r="K48" s="85">
        <f t="shared" si="2"/>
        <v>0.99770914578642045</v>
      </c>
      <c r="L48" s="85">
        <f t="shared" si="7"/>
        <v>1.0002699999324784</v>
      </c>
      <c r="M48" s="85" t="e">
        <f>IF(ISTEXT(E48),"",E48/#REF!)</f>
        <v>#REF!</v>
      </c>
      <c r="N48" s="234">
        <f t="shared" si="3"/>
        <v>1</v>
      </c>
      <c r="O48" s="235">
        <f t="shared" si="8"/>
        <v>37992583</v>
      </c>
      <c r="P48" s="217"/>
    </row>
    <row r="49" spans="2:16" ht="26.25" customHeight="1" outlineLevel="1" x14ac:dyDescent="0.2">
      <c r="B49" s="178">
        <v>6</v>
      </c>
      <c r="C49" s="179">
        <f>RESUMEN!C20</f>
        <v>7</v>
      </c>
      <c r="D49" s="180" t="str">
        <f>VLOOKUP(C49,RESUMEN!$C$15:$D$35,2,0)</f>
        <v>CONSORCIO DBS-AP</v>
      </c>
      <c r="E49" s="181">
        <f>IF(ISTEXT('VR-PROP'!$Y$54),"DESCARTADO",'VR-PROP'!$Y$54)</f>
        <v>20750570760</v>
      </c>
      <c r="F49" s="182">
        <f t="shared" si="4"/>
        <v>20.750570759999999</v>
      </c>
      <c r="G49" s="220">
        <f t="shared" si="5"/>
        <v>-5.6424587334417131E-3</v>
      </c>
      <c r="H49" s="198">
        <f t="shared" si="6"/>
        <v>899.58529766597132</v>
      </c>
      <c r="I49" s="84">
        <f t="shared" si="0"/>
        <v>0.99435754126655829</v>
      </c>
      <c r="J49" s="85">
        <f t="shared" si="1"/>
        <v>1.0046597637635986</v>
      </c>
      <c r="K49" s="85">
        <f t="shared" si="2"/>
        <v>0.99953921962885706</v>
      </c>
      <c r="L49" s="85">
        <f t="shared" si="7"/>
        <v>1.0021047710879614</v>
      </c>
      <c r="M49" s="85" t="e">
        <f>IF(ISTEXT(E49),"",E49/#REF!)</f>
        <v>#REF!</v>
      </c>
      <c r="N49" s="234">
        <f t="shared" si="3"/>
        <v>1</v>
      </c>
      <c r="O49" s="235" t="e">
        <f t="shared" si="8"/>
        <v>#VALUE!</v>
      </c>
      <c r="P49" s="217"/>
    </row>
    <row r="50" spans="2:16" ht="26.25" customHeight="1" outlineLevel="1" x14ac:dyDescent="0.2">
      <c r="B50" s="178">
        <v>7</v>
      </c>
      <c r="C50" s="179">
        <f>RESUMEN!C21</f>
        <v>10</v>
      </c>
      <c r="D50" s="180" t="str">
        <f>VLOOKUP(C50,RESUMEN!$C$15:$D$35,2,0)</f>
        <v xml:space="preserve">CONSORCIO PUERTA DEL SOL </v>
      </c>
      <c r="E50" s="181" t="str">
        <f>IF(ISTEXT('VR-PROP'!$AB$54),"DESCARTADO",'VR-PROP'!$AB$54)</f>
        <v>DESCARTADO</v>
      </c>
      <c r="F50" s="182" t="str">
        <f t="shared" si="4"/>
        <v/>
      </c>
      <c r="G50" s="220" t="str">
        <f t="shared" si="5"/>
        <v>DESCARTADO</v>
      </c>
      <c r="H50" s="198" t="str">
        <f t="shared" si="6"/>
        <v>DESCARTADO</v>
      </c>
      <c r="I50" s="84" t="str">
        <f t="shared" si="0"/>
        <v/>
      </c>
      <c r="J50" s="85" t="str">
        <f t="shared" si="1"/>
        <v/>
      </c>
      <c r="K50" s="85" t="str">
        <f t="shared" si="2"/>
        <v/>
      </c>
      <c r="L50" s="85" t="str">
        <f t="shared" si="7"/>
        <v/>
      </c>
      <c r="M50" s="85" t="str">
        <f>IF(ISTEXT(E50),"",E50/#REF!)</f>
        <v/>
      </c>
      <c r="N50" s="234" t="str">
        <f t="shared" si="3"/>
        <v/>
      </c>
      <c r="O50" s="235" t="str">
        <f t="shared" si="8"/>
        <v/>
      </c>
      <c r="P50" s="217"/>
    </row>
    <row r="51" spans="2:16" ht="26.25" customHeight="1" outlineLevel="1" x14ac:dyDescent="0.2">
      <c r="B51" s="178">
        <v>8</v>
      </c>
      <c r="C51" s="179">
        <f>RESUMEN!C22</f>
        <v>12</v>
      </c>
      <c r="D51" s="180" t="str">
        <f>VLOOKUP(C51,RESUMEN!$C$15:$D$35,2,0)</f>
        <v>CONSORCIO VÍAS ARAUCA</v>
      </c>
      <c r="E51" s="181">
        <f>IF(ISTEXT('VR-PROP'!$AE$54),"DESCARTADO",'VR-PROP'!$AE$54)</f>
        <v>20602541232</v>
      </c>
      <c r="F51" s="182">
        <f t="shared" si="4"/>
        <v>20.602541232</v>
      </c>
      <c r="G51" s="220">
        <f t="shared" si="5"/>
        <v>-1.2735963736237643E-2</v>
      </c>
      <c r="H51" s="198">
        <f t="shared" si="6"/>
        <v>893.16787481291271</v>
      </c>
      <c r="I51" s="84">
        <f t="shared" si="0"/>
        <v>0.98726403626376236</v>
      </c>
      <c r="J51" s="85">
        <f t="shared" si="1"/>
        <v>0.99749276520965058</v>
      </c>
      <c r="K51" s="85">
        <f t="shared" si="2"/>
        <v>0.99240874979212523</v>
      </c>
      <c r="L51" s="85">
        <f t="shared" si="7"/>
        <v>0.99495599923072398</v>
      </c>
      <c r="M51" s="85" t="e">
        <f>IF(ISTEXT(E51),"",E51/#REF!)</f>
        <v>#REF!</v>
      </c>
      <c r="N51" s="234">
        <f t="shared" si="3"/>
        <v>1</v>
      </c>
      <c r="O51" s="235" t="e">
        <f t="shared" si="8"/>
        <v>#VALUE!</v>
      </c>
      <c r="P51" s="217"/>
    </row>
    <row r="52" spans="2:16" ht="26.25" customHeight="1" outlineLevel="1" x14ac:dyDescent="0.2">
      <c r="B52" s="178">
        <v>9</v>
      </c>
      <c r="C52" s="179">
        <f>RESUMEN!C23</f>
        <v>13</v>
      </c>
      <c r="D52" s="180" t="str">
        <f>VLOOKUP(C52,RESUMEN!$C$15:$D$35,2,0)</f>
        <v>U.T COROCORO- ARAUCA 2018</v>
      </c>
      <c r="E52" s="181" t="str">
        <f>IF(ISTEXT('VR-PROP'!$AH$54),"DESCARTADO",'VR-PROP'!$AH$54)</f>
        <v>DESCARTADO</v>
      </c>
      <c r="F52" s="182" t="str">
        <f t="shared" si="4"/>
        <v/>
      </c>
      <c r="G52" s="220" t="str">
        <f t="shared" si="5"/>
        <v>DESCARTADO</v>
      </c>
      <c r="H52" s="198" t="str">
        <f t="shared" si="6"/>
        <v>DESCARTADO</v>
      </c>
      <c r="I52" s="84" t="str">
        <f t="shared" si="0"/>
        <v/>
      </c>
      <c r="J52" s="85" t="str">
        <f t="shared" si="1"/>
        <v/>
      </c>
      <c r="K52" s="85" t="str">
        <f t="shared" si="2"/>
        <v/>
      </c>
      <c r="L52" s="85" t="str">
        <f t="shared" si="7"/>
        <v/>
      </c>
      <c r="M52" s="85" t="str">
        <f>IF(ISTEXT(E52),"",E52/#REF!)</f>
        <v/>
      </c>
      <c r="N52" s="234" t="str">
        <f t="shared" si="3"/>
        <v/>
      </c>
      <c r="O52" s="235" t="str">
        <f t="shared" si="8"/>
        <v/>
      </c>
      <c r="P52" s="217"/>
    </row>
    <row r="53" spans="2:16" ht="26.25" customHeight="1" outlineLevel="1" x14ac:dyDescent="0.2">
      <c r="B53" s="178">
        <v>10</v>
      </c>
      <c r="C53" s="179">
        <f>RESUMEN!C24</f>
        <v>17</v>
      </c>
      <c r="D53" s="180" t="str">
        <f>VLOOKUP(C53,RESUMEN!$C$15:$D$35,2,0)</f>
        <v>U.T SERVICIOS E INGENIERIA COROCORO</v>
      </c>
      <c r="E53" s="181" t="str">
        <f>IF(ISTEXT('VR-PROP'!$AK$54),"DESCARTADO",'VR-PROP'!$AK$54)</f>
        <v>DESCARTADO</v>
      </c>
      <c r="F53" s="182" t="str">
        <f t="shared" si="4"/>
        <v/>
      </c>
      <c r="G53" s="220" t="str">
        <f t="shared" si="5"/>
        <v>DESCARTADO</v>
      </c>
      <c r="H53" s="198" t="str">
        <f t="shared" si="6"/>
        <v>DESCARTADO</v>
      </c>
      <c r="I53" s="84" t="str">
        <f t="shared" si="0"/>
        <v/>
      </c>
      <c r="J53" s="85" t="str">
        <f t="shared" si="1"/>
        <v/>
      </c>
      <c r="K53" s="85" t="str">
        <f t="shared" si="2"/>
        <v/>
      </c>
      <c r="L53" s="85" t="str">
        <f t="shared" si="7"/>
        <v/>
      </c>
      <c r="M53" s="85" t="str">
        <f>IF(ISTEXT(E53),"",E53/#REF!)</f>
        <v/>
      </c>
      <c r="N53" s="234" t="str">
        <f t="shared" si="3"/>
        <v/>
      </c>
      <c r="O53" s="235" t="str">
        <f t="shared" si="8"/>
        <v/>
      </c>
      <c r="P53" s="217"/>
    </row>
    <row r="54" spans="2:16" ht="26.25" customHeight="1" outlineLevel="1" x14ac:dyDescent="0.2">
      <c r="B54" s="178">
        <v>11</v>
      </c>
      <c r="C54" s="179">
        <f>RESUMEN!C25</f>
        <v>18</v>
      </c>
      <c r="D54" s="180" t="str">
        <f>VLOOKUP(C54,RESUMEN!$C$15:$D$35,2,0)</f>
        <v>CONSORCIO VIAL ARAUCA</v>
      </c>
      <c r="E54" s="181" t="str">
        <f>IF(ISTEXT('VR-PROP'!$AN$54),"DESCARTADO",'VR-PROP'!$AN$54)</f>
        <v>DESCARTADO</v>
      </c>
      <c r="F54" s="182" t="str">
        <f t="shared" si="4"/>
        <v/>
      </c>
      <c r="G54" s="220" t="str">
        <f t="shared" si="5"/>
        <v>DESCARTADO</v>
      </c>
      <c r="H54" s="198" t="str">
        <f t="shared" si="6"/>
        <v>DESCARTADO</v>
      </c>
      <c r="I54" s="84" t="str">
        <f t="shared" si="0"/>
        <v/>
      </c>
      <c r="J54" s="85" t="str">
        <f t="shared" si="1"/>
        <v/>
      </c>
      <c r="K54" s="85" t="str">
        <f t="shared" si="2"/>
        <v/>
      </c>
      <c r="L54" s="85" t="str">
        <f t="shared" si="7"/>
        <v/>
      </c>
      <c r="M54" s="85" t="str">
        <f>IF(ISTEXT(E54),"",E54/#REF!)</f>
        <v/>
      </c>
      <c r="N54" s="234" t="str">
        <f t="shared" si="3"/>
        <v/>
      </c>
      <c r="O54" s="235" t="str">
        <f t="shared" si="8"/>
        <v/>
      </c>
      <c r="P54" s="217"/>
    </row>
    <row r="55" spans="2:16" ht="26.25" customHeight="1" outlineLevel="1" x14ac:dyDescent="0.2">
      <c r="B55" s="178">
        <v>12</v>
      </c>
      <c r="C55" s="179">
        <f>RESUMEN!C26</f>
        <v>20</v>
      </c>
      <c r="D55" s="180" t="str">
        <f>VLOOKUP(C55,RESUMEN!$C$15:$D$35,2,0)</f>
        <v>CONSORCIO TAME 2018</v>
      </c>
      <c r="E55" s="181" t="str">
        <f>IF(ISTEXT('VR-PROP'!$AQ$54),"DESCARTADO",'VR-PROP'!$AQ$54)</f>
        <v>DESCARTADO</v>
      </c>
      <c r="F55" s="182" t="str">
        <f t="shared" si="4"/>
        <v/>
      </c>
      <c r="G55" s="220" t="str">
        <f t="shared" si="5"/>
        <v>DESCARTADO</v>
      </c>
      <c r="H55" s="198" t="str">
        <f t="shared" si="6"/>
        <v>DESCARTADO</v>
      </c>
      <c r="I55" s="84" t="str">
        <f t="shared" si="0"/>
        <v/>
      </c>
      <c r="J55" s="85" t="str">
        <f t="shared" si="1"/>
        <v/>
      </c>
      <c r="K55" s="85" t="str">
        <f t="shared" si="2"/>
        <v/>
      </c>
      <c r="L55" s="85" t="str">
        <f t="shared" si="7"/>
        <v/>
      </c>
      <c r="M55" s="85" t="str">
        <f>IF(ISTEXT(E55),"",E55/#REF!)</f>
        <v/>
      </c>
      <c r="N55" s="234" t="str">
        <f t="shared" si="3"/>
        <v/>
      </c>
      <c r="O55" s="235" t="str">
        <f t="shared" si="8"/>
        <v/>
      </c>
      <c r="P55" s="217"/>
    </row>
    <row r="56" spans="2:16" ht="26.25" customHeight="1" outlineLevel="1" x14ac:dyDescent="0.2">
      <c r="B56" s="178">
        <v>13</v>
      </c>
      <c r="C56" s="179">
        <f>RESUMEN!C27</f>
        <v>21</v>
      </c>
      <c r="D56" s="180" t="str">
        <f>VLOOKUP(C56,RESUMEN!$C$15:$D$35,2,0)</f>
        <v>CONSORCIO SAMORÉ</v>
      </c>
      <c r="E56" s="181">
        <f>IF(ISTEXT('VR-PROP'!$AT$54),"DESCARTADO",'VR-PROP'!$AT$54)</f>
        <v>20801703540</v>
      </c>
      <c r="F56" s="182">
        <f t="shared" si="4"/>
        <v>20.801703539999998</v>
      </c>
      <c r="G56" s="220">
        <f t="shared" si="5"/>
        <v>-3.1922000881743351E-3</v>
      </c>
      <c r="H56" s="198">
        <f t="shared" si="6"/>
        <v>896.39595581030756</v>
      </c>
      <c r="I56" s="84">
        <f t="shared" si="0"/>
        <v>0.99680779991182566</v>
      </c>
      <c r="J56" s="85">
        <f t="shared" si="1"/>
        <v>1.0071354087600439</v>
      </c>
      <c r="K56" s="85">
        <f t="shared" si="2"/>
        <v>1.0020022467720513</v>
      </c>
      <c r="L56" s="85">
        <f t="shared" si="7"/>
        <v>1.0045741201670606</v>
      </c>
      <c r="M56" s="85" t="e">
        <f>IF(ISTEXT(E56),"",E56/#REF!)</f>
        <v>#REF!</v>
      </c>
      <c r="N56" s="234">
        <f t="shared" si="3"/>
        <v>1</v>
      </c>
      <c r="O56" s="235">
        <f t="shared" si="8"/>
        <v>457806056</v>
      </c>
      <c r="P56" s="217"/>
    </row>
    <row r="57" spans="2:16" ht="26.25" customHeight="1" outlineLevel="1" x14ac:dyDescent="0.2">
      <c r="B57" s="178">
        <v>14</v>
      </c>
      <c r="C57" s="179">
        <f>RESUMEN!C28</f>
        <v>23</v>
      </c>
      <c r="D57" s="180" t="str">
        <f>VLOOKUP(C57,RESUMEN!$C$15:$D$35,2,0)</f>
        <v>CONSORCIO VIAL COROCORO 2018</v>
      </c>
      <c r="E57" s="181">
        <f>IF(ISTEXT('VR-PROP'!$AW$54),"DESCARTADO",'VR-PROP'!$AW$54)</f>
        <v>20343897484</v>
      </c>
      <c r="F57" s="182">
        <f t="shared" si="4"/>
        <v>20.343897483999999</v>
      </c>
      <c r="G57" s="220">
        <f t="shared" si="5"/>
        <v>-2.5130049870051852E-2</v>
      </c>
      <c r="H57" s="198">
        <f t="shared" si="6"/>
        <v>881.9550693568558</v>
      </c>
      <c r="I57" s="84">
        <f t="shared" si="0"/>
        <v>0.97486995012994815</v>
      </c>
      <c r="J57" s="85">
        <f t="shared" si="1"/>
        <v>0.98497026788801012</v>
      </c>
      <c r="K57" s="85">
        <f t="shared" si="2"/>
        <v>0.97995007706317316</v>
      </c>
      <c r="L57" s="85">
        <f t="shared" si="7"/>
        <v>0.98246534840089239</v>
      </c>
      <c r="M57" s="85" t="e">
        <f>IF(ISTEXT(E57),"",E57/#REF!)</f>
        <v>#REF!</v>
      </c>
      <c r="N57" s="234">
        <f t="shared" si="3"/>
        <v>1</v>
      </c>
      <c r="O57" s="235">
        <f t="shared" si="8"/>
        <v>522049285</v>
      </c>
      <c r="P57" s="217"/>
    </row>
    <row r="58" spans="2:16" ht="26.25" customHeight="1" outlineLevel="1" x14ac:dyDescent="0.2">
      <c r="B58" s="178">
        <v>15</v>
      </c>
      <c r="C58" s="179">
        <f>RESUMEN!C29</f>
        <v>24</v>
      </c>
      <c r="D58" s="180" t="str">
        <f>VLOOKUP(C58,RESUMEN!$C$15:$D$35,2,0)</f>
        <v>UNION TEMPORAL TAME COROCORO</v>
      </c>
      <c r="E58" s="181">
        <f>IF(ISTEXT('VR-PROP'!$AZ$54),"DESCARTADO",'VR-PROP'!$AZ$54)</f>
        <v>20865946769</v>
      </c>
      <c r="F58" s="182">
        <f t="shared" si="4"/>
        <v>20.865946769000001</v>
      </c>
      <c r="G58" s="220">
        <f t="shared" si="5"/>
        <v>-1.1369492461488218E-4</v>
      </c>
      <c r="H58" s="198">
        <f t="shared" si="6"/>
        <v>890.8257703005778</v>
      </c>
      <c r="I58" s="84">
        <f t="shared" si="0"/>
        <v>0.99988630507538512</v>
      </c>
      <c r="J58" s="85">
        <f t="shared" si="1"/>
        <v>1.0102458093373121</v>
      </c>
      <c r="K58" s="85">
        <f t="shared" si="2"/>
        <v>1.0050967942774569</v>
      </c>
      <c r="L58" s="85">
        <f t="shared" si="7"/>
        <v>1.0076766105532573</v>
      </c>
      <c r="M58" s="85" t="e">
        <f>IF(ISTEXT(E58),"",E58/#REF!)</f>
        <v>#REF!</v>
      </c>
      <c r="N58" s="234">
        <f t="shared" si="3"/>
        <v>1</v>
      </c>
      <c r="O58" s="235" t="e">
        <f t="shared" si="8"/>
        <v>#VALUE!</v>
      </c>
      <c r="P58" s="217"/>
    </row>
    <row r="59" spans="2:16" ht="26.25" customHeight="1" outlineLevel="1" x14ac:dyDescent="0.2">
      <c r="B59" s="178">
        <v>16</v>
      </c>
      <c r="C59" s="179">
        <f>RESUMEN!C30</f>
        <v>25</v>
      </c>
      <c r="D59" s="180" t="str">
        <f>VLOOKUP(C59,RESUMEN!$C$15:$D$35,2,0)</f>
        <v>CONSORCIO TADEO VÍAS</v>
      </c>
      <c r="E59" s="181" t="str">
        <f>IF(ISTEXT('VR-PROP'!$BC$54),"DESCARTADO",'VR-PROP'!$BC$54)</f>
        <v>DESCARTADO</v>
      </c>
      <c r="F59" s="182" t="str">
        <f t="shared" si="4"/>
        <v/>
      </c>
      <c r="G59" s="220" t="str">
        <f t="shared" si="5"/>
        <v>DESCARTADO</v>
      </c>
      <c r="H59" s="198" t="str">
        <f t="shared" si="6"/>
        <v>DESCARTADO</v>
      </c>
      <c r="I59" s="84" t="str">
        <f t="shared" si="0"/>
        <v/>
      </c>
      <c r="J59" s="85" t="str">
        <f t="shared" si="1"/>
        <v/>
      </c>
      <c r="K59" s="85" t="str">
        <f t="shared" si="2"/>
        <v/>
      </c>
      <c r="L59" s="85" t="str">
        <f t="shared" si="7"/>
        <v/>
      </c>
      <c r="M59" s="85" t="str">
        <f>IF(ISTEXT(E59),"",E59/#REF!)</f>
        <v/>
      </c>
      <c r="N59" s="234" t="str">
        <f t="shared" si="3"/>
        <v/>
      </c>
      <c r="O59" s="235" t="str">
        <f t="shared" si="8"/>
        <v/>
      </c>
      <c r="P59" s="217"/>
    </row>
    <row r="60" spans="2:16" ht="26.25" customHeight="1" outlineLevel="1" x14ac:dyDescent="0.2">
      <c r="B60" s="178">
        <v>17</v>
      </c>
      <c r="C60" s="179">
        <f>RESUMEN!C31</f>
        <v>27</v>
      </c>
      <c r="D60" s="180" t="str">
        <f>VLOOKUP(C60,RESUMEN!$C$15:$D$35,2,0)</f>
        <v>CONSORCIO DEL ORIENTE</v>
      </c>
      <c r="E60" s="181" t="str">
        <f>IF(ISTEXT('VR-PROP'!$BF$54),"DESCARTADO",'VR-PROP'!$BF$54)</f>
        <v>DESCARTADO</v>
      </c>
      <c r="F60" s="182" t="str">
        <f t="shared" si="4"/>
        <v/>
      </c>
      <c r="G60" s="220" t="str">
        <f t="shared" si="5"/>
        <v>DESCARTADO</v>
      </c>
      <c r="H60" s="198" t="str">
        <f t="shared" si="6"/>
        <v>DESCARTADO</v>
      </c>
      <c r="I60" s="84" t="str">
        <f t="shared" si="0"/>
        <v/>
      </c>
      <c r="J60" s="85" t="str">
        <f t="shared" si="1"/>
        <v/>
      </c>
      <c r="K60" s="85" t="str">
        <f t="shared" si="2"/>
        <v/>
      </c>
      <c r="L60" s="85" t="str">
        <f t="shared" si="7"/>
        <v/>
      </c>
      <c r="M60" s="85" t="str">
        <f>IF(ISTEXT(E60),"",E60/#REF!)</f>
        <v/>
      </c>
      <c r="N60" s="234" t="str">
        <f t="shared" si="3"/>
        <v/>
      </c>
      <c r="O60" s="235" t="str">
        <f t="shared" si="8"/>
        <v/>
      </c>
      <c r="P60" s="217"/>
    </row>
    <row r="61" spans="2:16" ht="26.25" customHeight="1" outlineLevel="1" x14ac:dyDescent="0.2">
      <c r="B61" s="178">
        <v>18</v>
      </c>
      <c r="C61" s="179">
        <f>RESUMEN!C32</f>
        <v>29</v>
      </c>
      <c r="D61" s="180" t="str">
        <f>VLOOKUP(C61,RESUMEN!$C$15:$D$35,2,0)</f>
        <v>CONSORCIO VÍAS COLOMBIA 2019</v>
      </c>
      <c r="E61" s="181" t="str">
        <f>IF(ISTEXT('VR-PROP'!$BI$54),"DESCARTADO",'VR-PROP'!$BI$54)</f>
        <v>DESCARTADO</v>
      </c>
      <c r="F61" s="182" t="str">
        <f t="shared" si="4"/>
        <v/>
      </c>
      <c r="G61" s="220" t="str">
        <f t="shared" si="5"/>
        <v>DESCARTADO</v>
      </c>
      <c r="H61" s="198" t="str">
        <f t="shared" si="6"/>
        <v>DESCARTADO</v>
      </c>
      <c r="I61" s="84"/>
      <c r="J61" s="85"/>
      <c r="K61" s="85"/>
      <c r="L61" s="85"/>
      <c r="M61" s="85"/>
      <c r="N61" s="234" t="str">
        <f t="shared" si="3"/>
        <v/>
      </c>
      <c r="O61" s="235" t="str">
        <f t="shared" si="8"/>
        <v/>
      </c>
      <c r="P61" s="217"/>
    </row>
    <row r="62" spans="2:16" ht="26.25" customHeight="1" outlineLevel="1" x14ac:dyDescent="0.2">
      <c r="B62" s="178">
        <v>19</v>
      </c>
      <c r="C62" s="179">
        <f>RESUMEN!C33</f>
        <v>30</v>
      </c>
      <c r="D62" s="180" t="str">
        <f>VLOOKUP(C62,RESUMEN!$C$15:$D$35,2,0)</f>
        <v>CONSORCIO INFRAESTRUCTURA ARAUCA</v>
      </c>
      <c r="E62" s="181">
        <f>IF(ISTEXT('VR-PROP'!$BL$54),"DESCARTADO",'VR-PROP'!$BL$54)</f>
        <v>20668135941</v>
      </c>
      <c r="F62" s="182">
        <f t="shared" si="4"/>
        <v>20.668135940999999</v>
      </c>
      <c r="G62" s="220">
        <f t="shared" si="5"/>
        <v>-9.5926962899721691E-3</v>
      </c>
      <c r="H62" s="198">
        <f t="shared" si="6"/>
        <v>896.01155735560337</v>
      </c>
      <c r="I62" s="84"/>
      <c r="J62" s="85"/>
      <c r="K62" s="85"/>
      <c r="L62" s="85"/>
      <c r="M62" s="85"/>
      <c r="N62" s="234">
        <f t="shared" si="3"/>
        <v>1</v>
      </c>
      <c r="O62" s="235">
        <f t="shared" si="8"/>
        <v>27101805</v>
      </c>
      <c r="P62" s="217"/>
    </row>
    <row r="63" spans="2:16" ht="26.25" customHeight="1" outlineLevel="1" x14ac:dyDescent="0.2">
      <c r="B63" s="178">
        <v>20</v>
      </c>
      <c r="C63" s="179">
        <f>RESUMEN!C34</f>
        <v>31</v>
      </c>
      <c r="D63" s="180" t="str">
        <f>VLOOKUP(C63,RESUMEN!$C$15:$D$35,2,0)</f>
        <v>CONSORCIO RUTA NACIONAL 2018</v>
      </c>
      <c r="E63" s="181">
        <f>IF(ISTEXT('VR-PROP'!$BO$54),"DESCARTADO",'VR-PROP'!$BO$54)</f>
        <v>20641034136</v>
      </c>
      <c r="F63" s="182">
        <f t="shared" si="4"/>
        <v>20.641034135999998</v>
      </c>
      <c r="G63" s="220">
        <f t="shared" si="5"/>
        <v>-1.08914019735592E-2</v>
      </c>
      <c r="H63" s="198">
        <f t="shared" si="6"/>
        <v>894.83663134512437</v>
      </c>
      <c r="I63" s="84"/>
      <c r="J63" s="85"/>
      <c r="K63" s="85"/>
      <c r="L63" s="85"/>
      <c r="M63" s="85"/>
      <c r="N63" s="234">
        <f t="shared" si="3"/>
        <v>1</v>
      </c>
      <c r="O63" s="235">
        <f t="shared" si="8"/>
        <v>319761428</v>
      </c>
      <c r="P63" s="217"/>
    </row>
    <row r="64" spans="2:16" ht="26.25" customHeight="1" outlineLevel="1" x14ac:dyDescent="0.2">
      <c r="B64" s="178">
        <v>21</v>
      </c>
      <c r="C64" s="179">
        <f>RESUMEN!C35</f>
        <v>33</v>
      </c>
      <c r="D64" s="180" t="str">
        <f>VLOOKUP(C64,RESUMEN!$C$15:$D$35,2,0)</f>
        <v>CONSORCIO ECO-VIAS</v>
      </c>
      <c r="E64" s="181">
        <f>IF(ISTEXT('VR-PROP'!$BR$54),"DESCARTADO",'VR-PROP'!$BR$54)</f>
        <v>20321272708</v>
      </c>
      <c r="F64" s="182">
        <f t="shared" si="4"/>
        <v>20.321272707999999</v>
      </c>
      <c r="G64" s="220">
        <f t="shared" si="5"/>
        <v>-2.6214218440413939E-2</v>
      </c>
      <c r="H64" s="198">
        <f t="shared" si="6"/>
        <v>880.97423292165672</v>
      </c>
      <c r="I64" s="84"/>
      <c r="J64" s="85"/>
      <c r="K64" s="85"/>
      <c r="L64" s="85"/>
      <c r="M64" s="85"/>
      <c r="N64" s="234">
        <f t="shared" si="3"/>
        <v>1</v>
      </c>
      <c r="O64" s="235" t="e">
        <f>IF(E64="DESCARTADO","",ABS(E64-#REF!))</f>
        <v>#REF!</v>
      </c>
      <c r="P64" s="217"/>
    </row>
    <row r="65" spans="2:16" customFormat="1" ht="13.5" outlineLevel="1" thickBot="1" x14ac:dyDescent="0.25">
      <c r="N65" s="211"/>
      <c r="O65" s="194"/>
      <c r="P65" s="192"/>
    </row>
    <row r="66" spans="2:16" customFormat="1" ht="15" x14ac:dyDescent="0.2">
      <c r="B66" s="373" t="s">
        <v>64</v>
      </c>
      <c r="C66" s="374"/>
      <c r="D66" s="374"/>
      <c r="E66" s="374"/>
      <c r="F66" s="374"/>
      <c r="G66" s="374"/>
      <c r="H66" s="375"/>
      <c r="O66" s="194"/>
      <c r="P66" s="192"/>
    </row>
    <row r="67" spans="2:16" customFormat="1" x14ac:dyDescent="0.2">
      <c r="B67" s="395" t="s">
        <v>65</v>
      </c>
      <c r="C67" s="396"/>
      <c r="D67" s="396"/>
      <c r="E67" s="396"/>
      <c r="F67" s="396"/>
      <c r="G67" s="396"/>
      <c r="H67" s="286" t="s">
        <v>66</v>
      </c>
      <c r="O67" s="192"/>
      <c r="P67" s="192"/>
    </row>
    <row r="68" spans="2:16" customFormat="1" x14ac:dyDescent="0.2">
      <c r="B68" s="380" t="s">
        <v>67</v>
      </c>
      <c r="C68" s="381"/>
      <c r="D68" s="381"/>
      <c r="E68" s="381"/>
      <c r="F68" s="381"/>
      <c r="G68" s="381"/>
      <c r="H68" s="112">
        <f>COUNTIF(H44:H64,"DESCARTADO")</f>
        <v>9</v>
      </c>
      <c r="L68" s="43"/>
      <c r="M68" s="43"/>
      <c r="O68" s="192"/>
      <c r="P68" s="192"/>
    </row>
    <row r="69" spans="2:16" ht="13.15" customHeight="1" x14ac:dyDescent="0.2">
      <c r="B69" s="380" t="s">
        <v>69</v>
      </c>
      <c r="C69" s="381"/>
      <c r="D69" s="381"/>
      <c r="E69" s="381"/>
      <c r="F69" s="381"/>
      <c r="G69" s="381"/>
      <c r="H69" s="113">
        <f>COUNTIF(E44:E64,"&lt;="&amp;H38)</f>
        <v>8</v>
      </c>
      <c r="I69"/>
      <c r="J69"/>
      <c r="K69"/>
    </row>
    <row r="70" spans="2:16" ht="13.15" customHeight="1" x14ac:dyDescent="0.2">
      <c r="B70" s="380" t="s">
        <v>68</v>
      </c>
      <c r="C70" s="381"/>
      <c r="D70" s="381"/>
      <c r="E70" s="381"/>
      <c r="F70" s="381"/>
      <c r="G70" s="381"/>
      <c r="H70" s="113">
        <f>COUNTIF(E44:E64,"&gt;"&amp;H38)</f>
        <v>4</v>
      </c>
      <c r="I70"/>
      <c r="J70"/>
      <c r="K70"/>
    </row>
    <row r="71" spans="2:16" ht="13.15" customHeight="1" x14ac:dyDescent="0.2">
      <c r="B71" s="380" t="s">
        <v>70</v>
      </c>
      <c r="C71" s="381"/>
      <c r="D71" s="381"/>
      <c r="E71" s="381"/>
      <c r="F71" s="381"/>
      <c r="G71" s="381"/>
      <c r="H71" s="114">
        <f>DMIN(G42:H64,1,G75:H76)</f>
        <v>-5.6424587334417131E-3</v>
      </c>
      <c r="I71"/>
      <c r="J71"/>
      <c r="K71"/>
      <c r="L71"/>
      <c r="M71"/>
      <c r="N71"/>
    </row>
    <row r="72" spans="2:16" ht="13.9" customHeight="1" x14ac:dyDescent="0.2">
      <c r="B72" s="380" t="s">
        <v>72</v>
      </c>
      <c r="C72" s="381"/>
      <c r="D72" s="381"/>
      <c r="E72" s="381"/>
      <c r="F72" s="381"/>
      <c r="G72" s="381"/>
      <c r="H72" s="118">
        <f>IF(H18=0,"",DGET(C42:H64,1,H75:H76))</f>
        <v>7</v>
      </c>
      <c r="I72"/>
      <c r="J72"/>
      <c r="K72"/>
      <c r="L72"/>
      <c r="M72"/>
      <c r="N72"/>
    </row>
    <row r="73" spans="2:16" s="42" customFormat="1" ht="13.5" thickBot="1" x14ac:dyDescent="0.25">
      <c r="B73" s="378" t="s">
        <v>71</v>
      </c>
      <c r="C73" s="379"/>
      <c r="D73" s="379"/>
      <c r="E73" s="379"/>
      <c r="F73" s="379"/>
      <c r="G73" s="379"/>
      <c r="H73" s="115" t="str">
        <f>IF(H18=0,"",DGET(C42:M64,2,H75:H76))</f>
        <v>CONSORCIO DBS-AP</v>
      </c>
      <c r="I73" s="148"/>
      <c r="J73" s="148"/>
      <c r="K73" s="148"/>
      <c r="L73" s="148"/>
      <c r="M73" s="148"/>
      <c r="N73" s="148"/>
      <c r="O73" s="193"/>
      <c r="P73" s="193"/>
    </row>
    <row r="74" spans="2:16" ht="13.5" customHeight="1" x14ac:dyDescent="0.2">
      <c r="B74"/>
      <c r="C74"/>
      <c r="D74"/>
      <c r="E74"/>
      <c r="F74"/>
      <c r="H74" s="43"/>
      <c r="I74" s="43"/>
      <c r="J74"/>
      <c r="K74"/>
      <c r="L74"/>
      <c r="M74"/>
      <c r="N74"/>
    </row>
    <row r="75" spans="2:16" ht="22.5" hidden="1" x14ac:dyDescent="0.2">
      <c r="B75"/>
      <c r="C75"/>
      <c r="D75"/>
      <c r="E75"/>
      <c r="F75"/>
      <c r="G75" s="116" t="s">
        <v>26</v>
      </c>
      <c r="H75" s="116" t="s">
        <v>4</v>
      </c>
      <c r="I75" s="43"/>
      <c r="J75"/>
      <c r="K75"/>
      <c r="L75"/>
      <c r="M75"/>
      <c r="N75"/>
    </row>
    <row r="76" spans="2:16" ht="13.5" hidden="1" customHeight="1" thickBot="1" x14ac:dyDescent="0.25">
      <c r="B76"/>
      <c r="C76"/>
      <c r="D76"/>
      <c r="E76"/>
      <c r="F76"/>
      <c r="G76" s="47" t="s">
        <v>14</v>
      </c>
      <c r="H76" s="117">
        <f>MAX(H44:H64)</f>
        <v>899.58529766597132</v>
      </c>
      <c r="I76" s="43"/>
      <c r="J76"/>
      <c r="K76"/>
      <c r="L76"/>
      <c r="M76"/>
      <c r="N76"/>
    </row>
    <row r="77" spans="2:16" x14ac:dyDescent="0.2">
      <c r="B77"/>
      <c r="C77"/>
      <c r="D77"/>
      <c r="E77"/>
      <c r="F77"/>
      <c r="H77" s="43"/>
      <c r="I77" s="43"/>
      <c r="J77"/>
      <c r="K77"/>
      <c r="L77"/>
      <c r="M77"/>
      <c r="N77"/>
    </row>
    <row r="78" spans="2:16" ht="13.5" customHeight="1" x14ac:dyDescent="0.2">
      <c r="B78"/>
      <c r="C78"/>
      <c r="D78"/>
      <c r="E78"/>
      <c r="F78"/>
      <c r="H78" s="43"/>
      <c r="I78" s="43"/>
      <c r="J78"/>
      <c r="K78"/>
      <c r="L78"/>
      <c r="M78"/>
      <c r="N78"/>
    </row>
    <row r="79" spans="2:16" ht="13.5" customHeight="1" x14ac:dyDescent="0.2">
      <c r="B79"/>
      <c r="C79"/>
      <c r="D79"/>
      <c r="E79"/>
      <c r="F79"/>
      <c r="H79" s="43"/>
      <c r="I79" s="43"/>
      <c r="J79"/>
      <c r="K79"/>
      <c r="L79"/>
      <c r="M79"/>
      <c r="N79"/>
    </row>
    <row r="80" spans="2:16" ht="13.5" customHeight="1" x14ac:dyDescent="0.2">
      <c r="B80"/>
      <c r="C80"/>
      <c r="D80"/>
      <c r="E80"/>
      <c r="F80"/>
      <c r="H80" s="43"/>
      <c r="I80" s="43"/>
      <c r="J80"/>
      <c r="K80"/>
      <c r="L80"/>
      <c r="M80"/>
      <c r="N80"/>
    </row>
    <row r="81" spans="2:38" ht="16.5" customHeight="1" x14ac:dyDescent="0.2">
      <c r="B81"/>
      <c r="C81"/>
      <c r="D81"/>
      <c r="E81"/>
      <c r="F81"/>
      <c r="H81" s="43"/>
      <c r="I81" s="43"/>
      <c r="J81"/>
      <c r="K81"/>
      <c r="L81"/>
      <c r="M81"/>
      <c r="N81"/>
    </row>
    <row r="82" spans="2:38" s="213" customFormat="1" x14ac:dyDescent="0.2">
      <c r="B82" s="212"/>
      <c r="C82" s="212"/>
      <c r="J82" s="214"/>
      <c r="K82" s="212"/>
      <c r="L82" s="212"/>
      <c r="M82" s="212"/>
      <c r="N82" s="212"/>
      <c r="O82" s="215"/>
      <c r="P82" s="215"/>
      <c r="Q82" s="216">
        <v>246500889410</v>
      </c>
      <c r="R82" s="216">
        <v>242851543086</v>
      </c>
      <c r="S82" s="216">
        <v>255815367666</v>
      </c>
      <c r="T82" s="216">
        <v>229461585210</v>
      </c>
      <c r="U82" s="216">
        <v>251294023456</v>
      </c>
      <c r="V82" s="216">
        <v>256143018798</v>
      </c>
      <c r="W82" s="216">
        <v>254559622968</v>
      </c>
      <c r="X82" s="216">
        <v>259137028741</v>
      </c>
      <c r="Y82" s="216">
        <v>248849829575</v>
      </c>
      <c r="Z82" s="216">
        <v>246405951109</v>
      </c>
      <c r="AA82" s="216">
        <v>241537467742</v>
      </c>
      <c r="AB82" s="216">
        <v>248820873611</v>
      </c>
      <c r="AC82" s="216">
        <v>236679277932</v>
      </c>
      <c r="AD82" s="216">
        <v>231590047547</v>
      </c>
      <c r="AE82" s="216">
        <v>227321068593</v>
      </c>
      <c r="AF82" s="216">
        <v>249585224523</v>
      </c>
      <c r="AG82" s="216">
        <v>259120341261</v>
      </c>
      <c r="AH82" s="216">
        <v>250076291918</v>
      </c>
      <c r="AI82" s="216">
        <v>260048521564</v>
      </c>
      <c r="AJ82" s="216">
        <v>239541109341</v>
      </c>
      <c r="AK82" s="216">
        <v>250814634168</v>
      </c>
      <c r="AL82" s="216">
        <v>242211742393</v>
      </c>
    </row>
    <row r="83" spans="2:38" x14ac:dyDescent="0.2">
      <c r="K83"/>
      <c r="L83"/>
      <c r="M83"/>
      <c r="N83"/>
    </row>
    <row r="84" spans="2:38" x14ac:dyDescent="0.2">
      <c r="G84" s="46"/>
      <c r="K84"/>
      <c r="L84"/>
      <c r="M84"/>
      <c r="N84"/>
    </row>
    <row r="85" spans="2:38" x14ac:dyDescent="0.2">
      <c r="K85"/>
      <c r="L85"/>
      <c r="M85"/>
      <c r="N85"/>
    </row>
    <row r="86" spans="2:38" x14ac:dyDescent="0.2">
      <c r="K86"/>
      <c r="L86"/>
      <c r="M86"/>
      <c r="N86"/>
    </row>
    <row r="87" spans="2:38" x14ac:dyDescent="0.2">
      <c r="K87"/>
      <c r="L87"/>
      <c r="M87"/>
      <c r="N87"/>
    </row>
    <row r="88" spans="2:38" x14ac:dyDescent="0.2">
      <c r="K88"/>
      <c r="L88"/>
      <c r="M88"/>
      <c r="N88"/>
    </row>
    <row r="89" spans="2:38" x14ac:dyDescent="0.2">
      <c r="K89"/>
      <c r="L89"/>
      <c r="M89"/>
      <c r="N89"/>
    </row>
    <row r="90" spans="2:38" x14ac:dyDescent="0.2">
      <c r="K90"/>
      <c r="L90"/>
      <c r="M90"/>
      <c r="N90"/>
    </row>
    <row r="91" spans="2:38" x14ac:dyDescent="0.2">
      <c r="K91"/>
      <c r="L91"/>
      <c r="M91"/>
      <c r="N91"/>
    </row>
    <row r="92" spans="2:38" x14ac:dyDescent="0.2">
      <c r="K92"/>
      <c r="L92"/>
      <c r="M92"/>
      <c r="N92"/>
    </row>
    <row r="93" spans="2:38" x14ac:dyDescent="0.2">
      <c r="K93"/>
      <c r="L93"/>
      <c r="M93"/>
      <c r="N93"/>
    </row>
    <row r="94" spans="2:38" x14ac:dyDescent="0.2">
      <c r="K94"/>
      <c r="L94"/>
      <c r="M94"/>
      <c r="N94"/>
    </row>
  </sheetData>
  <sheetProtection selectLockedCells="1"/>
  <dataConsolidate/>
  <mergeCells count="39">
    <mergeCell ref="B69:G69"/>
    <mergeCell ref="B70:G70"/>
    <mergeCell ref="B42:B43"/>
    <mergeCell ref="C42:C43"/>
    <mergeCell ref="D42:D43"/>
    <mergeCell ref="B73:G73"/>
    <mergeCell ref="B72:G72"/>
    <mergeCell ref="B12:H12"/>
    <mergeCell ref="B28:G28"/>
    <mergeCell ref="B30:G30"/>
    <mergeCell ref="B17:H17"/>
    <mergeCell ref="B38:D38"/>
    <mergeCell ref="B32:G32"/>
    <mergeCell ref="B33:G33"/>
    <mergeCell ref="B34:G34"/>
    <mergeCell ref="B35:G35"/>
    <mergeCell ref="E15:H15"/>
    <mergeCell ref="B66:H66"/>
    <mergeCell ref="B71:G71"/>
    <mergeCell ref="B67:G67"/>
    <mergeCell ref="B68:G68"/>
    <mergeCell ref="M42:M43"/>
    <mergeCell ref="B27:H27"/>
    <mergeCell ref="B29:H29"/>
    <mergeCell ref="B31:H31"/>
    <mergeCell ref="E38:G38"/>
    <mergeCell ref="L42:L43"/>
    <mergeCell ref="K42:K43"/>
    <mergeCell ref="B41:H41"/>
    <mergeCell ref="I42:I43"/>
    <mergeCell ref="J42:J43"/>
    <mergeCell ref="B7:H7"/>
    <mergeCell ref="B9:H9"/>
    <mergeCell ref="B10:H10"/>
    <mergeCell ref="B1:H1"/>
    <mergeCell ref="B2:H2"/>
    <mergeCell ref="B3:H3"/>
    <mergeCell ref="B4:H4"/>
    <mergeCell ref="B5:H5"/>
  </mergeCells>
  <conditionalFormatting sqref="B44:H64">
    <cfRule type="expression" dxfId="8" priority="14" stopIfTrue="1">
      <formula>MOD(ROW(),2)</formula>
    </cfRule>
  </conditionalFormatting>
  <conditionalFormatting sqref="E44:F64">
    <cfRule type="cellIs" dxfId="7" priority="13" stopIfTrue="1" operator="equal">
      <formula>"NO ADMISIBLE"</formula>
    </cfRule>
  </conditionalFormatting>
  <conditionalFormatting sqref="E44:F64">
    <cfRule type="cellIs" dxfId="6"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
&amp;A&amp;C&amp;P de &amp;N&amp;R&amp;9INSTITUTO NACIONAL DE VIAS
&amp;D</oddFooter>
  </headerFooter>
  <rowBreaks count="1" manualBreakCount="1">
    <brk id="38" min="1" max="6" man="1"/>
  </rowBreaks>
  <ignoredErrors>
    <ignoredError sqref="H19:H20 H22:H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39"/>
  <sheetViews>
    <sheetView showGridLines="0" topLeftCell="K12" zoomScale="110" zoomScaleNormal="110" zoomScaleSheetLayoutView="100" workbookViewId="0">
      <selection activeCell="R16" sqref="R16"/>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7" width="13.28515625" style="2" customWidth="1"/>
    <col min="8" max="8" width="13.28515625" style="2" hidden="1" customWidth="1"/>
    <col min="9"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71.5703125" style="2" customWidth="1"/>
    <col min="18" max="18" width="20" style="2" customWidth="1"/>
    <col min="19" max="19" width="20.140625" style="2" bestFit="1" customWidth="1"/>
    <col min="20" max="20" width="5.28515625" style="2" customWidth="1"/>
    <col min="21" max="21" width="11.42578125" style="233" customWidth="1"/>
    <col min="22" max="23" width="11.42578125" style="233"/>
    <col min="24" max="16384" width="11.42578125" style="2"/>
  </cols>
  <sheetData>
    <row r="1" spans="2:19" ht="18" x14ac:dyDescent="0.2">
      <c r="B1" s="312" t="str">
        <f>RESUMEN!B1</f>
        <v>FIDUPREVISORA</v>
      </c>
      <c r="C1" s="312"/>
      <c r="D1" s="312"/>
      <c r="E1" s="312"/>
      <c r="F1" s="312"/>
      <c r="G1" s="312"/>
      <c r="H1" s="312"/>
      <c r="I1" s="312"/>
      <c r="J1" s="312"/>
      <c r="K1" s="312"/>
      <c r="L1" s="1"/>
      <c r="P1" s="312" t="str">
        <f>B1</f>
        <v>FIDUPREVISORA</v>
      </c>
      <c r="Q1" s="312"/>
      <c r="R1" s="312"/>
      <c r="S1" s="312"/>
    </row>
    <row r="2" spans="2:19" ht="15.75" x14ac:dyDescent="0.2">
      <c r="B2" s="313"/>
      <c r="C2" s="313"/>
      <c r="D2" s="313"/>
      <c r="E2" s="313"/>
      <c r="F2" s="313"/>
      <c r="G2" s="313"/>
      <c r="H2" s="313"/>
      <c r="I2" s="313"/>
      <c r="J2" s="313"/>
      <c r="K2" s="313"/>
      <c r="L2" s="4"/>
      <c r="P2" s="313"/>
      <c r="Q2" s="313"/>
      <c r="R2" s="313"/>
      <c r="S2" s="313"/>
    </row>
    <row r="3" spans="2:19" x14ac:dyDescent="0.2">
      <c r="B3" s="313" t="str">
        <f>RESUMEN!B3</f>
        <v>PATRIMONIO AUTÓNOMO FIDEICOMISO ECOPETROL ZOMAC (en adelante PATRIMONIO AUTÓNOMO) FIDUCIARIA LA PREVISORA S.A.</v>
      </c>
      <c r="C3" s="313"/>
      <c r="D3" s="313"/>
      <c r="E3" s="313"/>
      <c r="F3" s="313"/>
      <c r="G3" s="313"/>
      <c r="H3" s="313"/>
      <c r="I3" s="313"/>
      <c r="J3" s="313"/>
      <c r="K3" s="313"/>
      <c r="L3" s="5"/>
      <c r="P3" s="313" t="str">
        <f>B3</f>
        <v>PATRIMONIO AUTÓNOMO FIDEICOMISO ECOPETROL ZOMAC (en adelante PATRIMONIO AUTÓNOMO) FIDUCIARIA LA PREVISORA S.A.</v>
      </c>
      <c r="Q3" s="313"/>
      <c r="R3" s="313"/>
      <c r="S3" s="313"/>
    </row>
    <row r="4" spans="2:19" x14ac:dyDescent="0.2">
      <c r="B4" s="313"/>
      <c r="C4" s="313"/>
      <c r="D4" s="313"/>
      <c r="E4" s="313"/>
      <c r="F4" s="313"/>
      <c r="G4" s="313"/>
      <c r="H4" s="313"/>
      <c r="I4" s="313"/>
      <c r="J4" s="313"/>
      <c r="K4" s="313"/>
      <c r="L4" s="5"/>
      <c r="P4" s="313"/>
      <c r="Q4" s="313"/>
      <c r="R4" s="313"/>
      <c r="S4" s="313"/>
    </row>
    <row r="5" spans="2:19" x14ac:dyDescent="0.2">
      <c r="B5" s="313" t="str">
        <f>RESUMEN!B5</f>
        <v>LICITACIÓN PRIVADA ABIERTA N° 006 DE 2018</v>
      </c>
      <c r="C5" s="313"/>
      <c r="D5" s="313"/>
      <c r="E5" s="313"/>
      <c r="F5" s="313"/>
      <c r="G5" s="313"/>
      <c r="H5" s="313"/>
      <c r="I5" s="313"/>
      <c r="J5" s="313"/>
      <c r="K5" s="313"/>
      <c r="L5" s="5"/>
      <c r="P5" s="313" t="str">
        <f>B5</f>
        <v>LICITACIÓN PRIVADA ABIERTA N° 006 DE 2018</v>
      </c>
      <c r="Q5" s="313"/>
      <c r="R5" s="313"/>
      <c r="S5" s="313"/>
    </row>
    <row r="6" spans="2:19" x14ac:dyDescent="0.2">
      <c r="B6" s="49"/>
      <c r="C6" s="49"/>
      <c r="D6" s="5"/>
      <c r="E6" s="5"/>
      <c r="F6" s="5"/>
      <c r="G6" s="5"/>
      <c r="H6" s="5"/>
      <c r="I6" s="5"/>
      <c r="J6" s="5"/>
      <c r="K6" s="5"/>
      <c r="L6" s="5"/>
      <c r="P6" s="49"/>
      <c r="Q6" s="5"/>
      <c r="R6" s="5"/>
      <c r="S6" s="5"/>
    </row>
    <row r="7" spans="2:19" ht="39.75" customHeight="1" x14ac:dyDescent="0.2">
      <c r="B7" s="313" t="str">
        <f>RESUMEN!B7</f>
        <v>PROYECTO No. 2: REHABILITACIÓN DE LA VIA TAME - COROCORO (6605), COROCORO - ARAUCA (6606). DEPARTAMENTO DE ARAUCA VINCULADOS AL CONTRIBUYENTE ECOPETROL S.A. DENTRO DEL MARCO DEL MECANISMO DE OBRAS POR IMPUESTOS</v>
      </c>
      <c r="C7" s="313"/>
      <c r="D7" s="313"/>
      <c r="E7" s="313"/>
      <c r="F7" s="313"/>
      <c r="G7" s="313"/>
      <c r="H7" s="313"/>
      <c r="I7" s="313"/>
      <c r="J7" s="313"/>
      <c r="K7" s="313"/>
      <c r="L7" s="6"/>
      <c r="P7" s="313" t="str">
        <f>B7</f>
        <v>PROYECTO No. 2: REHABILITACIÓN DE LA VIA TAME - COROCORO (6605), COROCORO - ARAUCA (6606). DEPARTAMENTO DE ARAUCA VINCULADOS AL CONTRIBUYENTE ECOPETROL S.A. DENTRO DEL MARCO DEL MECANISMO DE OBRAS POR IMPUESTOS</v>
      </c>
      <c r="Q7" s="313"/>
      <c r="R7" s="313"/>
      <c r="S7" s="313"/>
    </row>
    <row r="8" spans="2:19" x14ac:dyDescent="0.2">
      <c r="B8" s="49" t="str">
        <f>IF(RESUMEN!B8="","",RESUMEN!B8)</f>
        <v/>
      </c>
      <c r="C8" s="49"/>
      <c r="D8" s="6"/>
      <c r="E8" s="6"/>
      <c r="F8" s="6"/>
      <c r="G8" s="6"/>
      <c r="H8" s="6"/>
      <c r="I8" s="6"/>
      <c r="J8" s="6"/>
      <c r="K8" s="6"/>
      <c r="L8" s="6"/>
      <c r="P8" s="49" t="str">
        <f>B8</f>
        <v/>
      </c>
      <c r="Q8" s="5"/>
      <c r="R8" s="5"/>
      <c r="S8" s="5"/>
    </row>
    <row r="9" spans="2:19" x14ac:dyDescent="0.2">
      <c r="B9" s="330" t="s">
        <v>28</v>
      </c>
      <c r="C9" s="330"/>
      <c r="D9" s="330"/>
      <c r="E9" s="330"/>
      <c r="F9" s="330"/>
      <c r="G9" s="330"/>
      <c r="H9" s="330"/>
      <c r="I9" s="330"/>
      <c r="J9" s="330"/>
      <c r="K9" s="330"/>
      <c r="L9" s="7"/>
      <c r="P9" s="49"/>
      <c r="Q9" s="5"/>
      <c r="R9" s="5"/>
      <c r="S9" s="5"/>
    </row>
    <row r="10" spans="2:19" x14ac:dyDescent="0.2">
      <c r="B10" s="313" t="s">
        <v>30</v>
      </c>
      <c r="C10" s="313"/>
      <c r="D10" s="313"/>
      <c r="E10" s="313"/>
      <c r="F10" s="313"/>
      <c r="G10" s="313"/>
      <c r="H10" s="313"/>
      <c r="I10" s="313"/>
      <c r="J10" s="313"/>
      <c r="K10" s="313"/>
      <c r="L10" s="7"/>
      <c r="P10" s="313" t="s">
        <v>34</v>
      </c>
      <c r="Q10" s="313"/>
      <c r="R10" s="313"/>
      <c r="S10" s="313"/>
    </row>
    <row r="11" spans="2:19" ht="13.5" thickBot="1" x14ac:dyDescent="0.25">
      <c r="B11" s="124"/>
      <c r="C11" s="124"/>
      <c r="D11" s="124"/>
      <c r="E11" s="124"/>
      <c r="F11" s="124"/>
      <c r="G11" s="125"/>
      <c r="H11" s="124"/>
      <c r="I11" s="124"/>
      <c r="J11" s="124"/>
      <c r="K11" s="124" t="s">
        <v>3</v>
      </c>
      <c r="L11" s="124"/>
      <c r="O11" s="411" t="s">
        <v>9</v>
      </c>
    </row>
    <row r="12" spans="2:19" ht="24.75" customHeight="1" thickTop="1" x14ac:dyDescent="0.2">
      <c r="B12" s="406" t="s">
        <v>36</v>
      </c>
      <c r="C12" s="403" t="s">
        <v>29</v>
      </c>
      <c r="D12" s="403" t="s">
        <v>5</v>
      </c>
      <c r="E12" s="403" t="s">
        <v>113</v>
      </c>
      <c r="F12" s="423" t="s">
        <v>26</v>
      </c>
      <c r="G12" s="420" t="s">
        <v>17</v>
      </c>
      <c r="H12" s="420"/>
      <c r="I12" s="420"/>
      <c r="J12" s="420"/>
      <c r="K12" s="421" t="s">
        <v>32</v>
      </c>
      <c r="L12" s="403" t="s">
        <v>33</v>
      </c>
      <c r="O12" s="411"/>
      <c r="P12" s="412" t="s">
        <v>35</v>
      </c>
      <c r="Q12" s="413"/>
      <c r="R12" s="414"/>
      <c r="S12" s="415"/>
    </row>
    <row r="13" spans="2:19" ht="52.5" customHeight="1" x14ac:dyDescent="0.2">
      <c r="B13" s="407"/>
      <c r="C13" s="404"/>
      <c r="D13" s="404"/>
      <c r="E13" s="404"/>
      <c r="F13" s="424"/>
      <c r="G13" s="291" t="s">
        <v>31</v>
      </c>
      <c r="H13" s="292"/>
      <c r="I13" s="291" t="s">
        <v>73</v>
      </c>
      <c r="J13" s="291"/>
      <c r="K13" s="422"/>
      <c r="L13" s="404"/>
      <c r="O13" s="411"/>
      <c r="P13" s="416">
        <f ca="1">VLOOKUP(Q16,D16:E36,2,FALSE)</f>
        <v>20750570760</v>
      </c>
      <c r="Q13" s="417"/>
      <c r="R13" s="418"/>
      <c r="S13" s="419"/>
    </row>
    <row r="14" spans="2:19" ht="15" x14ac:dyDescent="0.25">
      <c r="B14" s="408"/>
      <c r="C14" s="405"/>
      <c r="D14" s="405"/>
      <c r="E14" s="293" t="s">
        <v>25</v>
      </c>
      <c r="F14" s="294" t="s">
        <v>13</v>
      </c>
      <c r="G14" s="295">
        <v>900</v>
      </c>
      <c r="H14" s="295"/>
      <c r="I14" s="295">
        <v>100</v>
      </c>
      <c r="J14" s="296"/>
      <c r="K14" s="297">
        <f>SUM(G14:J14)</f>
        <v>1000</v>
      </c>
      <c r="L14" s="405"/>
      <c r="O14" s="411"/>
      <c r="P14" s="287" t="s">
        <v>81</v>
      </c>
      <c r="Q14" s="288" t="s">
        <v>5</v>
      </c>
      <c r="R14" s="289" t="s">
        <v>80</v>
      </c>
      <c r="S14" s="290" t="s">
        <v>4</v>
      </c>
    </row>
    <row r="15" spans="2:19" ht="5.25" customHeight="1" x14ac:dyDescent="0.2">
      <c r="B15" s="136"/>
      <c r="C15" s="132"/>
      <c r="D15" s="133"/>
      <c r="E15" s="133"/>
      <c r="F15" s="134"/>
      <c r="G15" s="135"/>
      <c r="H15" s="135"/>
      <c r="I15" s="135"/>
      <c r="J15" s="135"/>
      <c r="K15" s="137"/>
      <c r="L15" s="137"/>
      <c r="P15" s="144"/>
      <c r="Q15" s="143"/>
      <c r="R15" s="143"/>
      <c r="S15" s="145"/>
    </row>
    <row r="16" spans="2:19" ht="18" x14ac:dyDescent="0.2">
      <c r="B16" s="138">
        <v>1</v>
      </c>
      <c r="C16" s="139">
        <f>RESUMEN!C15</f>
        <v>1</v>
      </c>
      <c r="D16" s="111" t="str">
        <f>VLOOKUP(C16,RESUMEN!$C$15:$D$35,2,0)</f>
        <v>CONSORCIO ZOMAC ARAUCA</v>
      </c>
      <c r="E16" s="140">
        <f>VLOOKUP(C16,FORMULA!$C$44:$H$64,3,0)</f>
        <v>20862654498</v>
      </c>
      <c r="F16" s="221">
        <f>VLOOKUP(C16,FORMULA!$C$44:$H$64,5,0)</f>
        <v>-2.7145899455816025E-4</v>
      </c>
      <c r="G16" s="199">
        <f>VLOOKUP(C16,FORMULA!$C$44:$H$64,6,0)</f>
        <v>891.11122544509271</v>
      </c>
      <c r="H16" s="141">
        <f>VLOOKUP($C16,RESUMEN!$C$15:$I$35,4,FALSE)</f>
        <v>0</v>
      </c>
      <c r="I16" s="141">
        <f>VLOOKUP($C16,RESUMEN!$C$15:$I$35,5,FALSE)</f>
        <v>100</v>
      </c>
      <c r="J16" s="141">
        <f>VLOOKUP($C16,RESUMEN!$C$15:$I$35,6,FALSE)</f>
        <v>0</v>
      </c>
      <c r="K16" s="244">
        <f>IF(E16="DESCARTADO",-L16,SUM(G16:J16,-L16))</f>
        <v>991.11122544409272</v>
      </c>
      <c r="L16" s="142">
        <v>1.0000000000000001E-9</v>
      </c>
      <c r="M16" s="184">
        <f t="shared" ref="M16:M36" si="0">C16</f>
        <v>1</v>
      </c>
      <c r="O16" s="73">
        <f t="shared" ref="O16:O36" si="1">RANK(K16,$K$16:$K$36,0)</f>
        <v>8</v>
      </c>
      <c r="P16" s="146">
        <v>1</v>
      </c>
      <c r="Q16" s="147" t="str">
        <f t="shared" ref="Q16:Q36" ca="1" si="2">IF(P16="","",OFFSET($D$15,MATCH(B16,$O$16:$O$36,0),0))</f>
        <v>CONSORCIO DBS-AP</v>
      </c>
      <c r="R16" s="185">
        <f t="shared" ref="R16:R36" ca="1" si="3">IF(Q16="","",VLOOKUP(Q16,$D$16:$M$36,10,FALSE))</f>
        <v>7</v>
      </c>
      <c r="S16" s="197">
        <f t="shared" ref="S16:S36" ca="1" si="4">IF(Q16="","",VLOOKUP(Q16,$D$16:$K$36,8,FALSE))</f>
        <v>999.58529766447134</v>
      </c>
    </row>
    <row r="17" spans="2:19" ht="18" x14ac:dyDescent="0.2">
      <c r="B17" s="138">
        <v>2</v>
      </c>
      <c r="C17" s="139">
        <f>RESUMEN!C16</f>
        <v>3</v>
      </c>
      <c r="D17" s="111" t="str">
        <f>VLOOKUP(C17,RESUMEN!$C$15:$D$35,2,0)</f>
        <v>CONSORCIO VÍA COROCORO</v>
      </c>
      <c r="E17" s="140" t="str">
        <f>VLOOKUP(C17,FORMULA!$C$44:$H$64,3,0)</f>
        <v>DESCARTADO</v>
      </c>
      <c r="F17" s="221" t="str">
        <f>VLOOKUP(C17,FORMULA!$C$44:$H$64,5,0)</f>
        <v>DESCARTADO</v>
      </c>
      <c r="G17" s="199" t="str">
        <f>VLOOKUP(C17,FORMULA!$C$44:$H$64,6,0)</f>
        <v>DESCARTADO</v>
      </c>
      <c r="H17" s="141">
        <f>VLOOKUP($C17,RESUMEN!$C$15:$I$35,4,FALSE)</f>
        <v>0</v>
      </c>
      <c r="I17" s="141">
        <f>VLOOKUP($C17,RESUMEN!$C$15:$I$35,5,FALSE)</f>
        <v>100</v>
      </c>
      <c r="J17" s="141">
        <f>VLOOKUP($C17,RESUMEN!$C$15:$I$35,6,FALSE)</f>
        <v>0</v>
      </c>
      <c r="K17" s="244">
        <f t="shared" ref="K17:K36" si="5">IF(E17="DESCARTADO",-L17,SUM(G17:J17,-L17))</f>
        <v>-1.0999999999999999E-9</v>
      </c>
      <c r="L17" s="142">
        <v>1.0999999999999999E-9</v>
      </c>
      <c r="M17" s="184">
        <f t="shared" si="0"/>
        <v>3</v>
      </c>
      <c r="O17" s="73">
        <f t="shared" si="1"/>
        <v>13</v>
      </c>
      <c r="P17" s="146">
        <f>P16+1</f>
        <v>2</v>
      </c>
      <c r="Q17" s="147" t="str">
        <f t="shared" ca="1" si="2"/>
        <v>INGECON S.A</v>
      </c>
      <c r="R17" s="185">
        <f t="shared" ca="1" si="3"/>
        <v>6</v>
      </c>
      <c r="S17" s="197">
        <f t="shared" ca="1" si="4"/>
        <v>997.9382312063783</v>
      </c>
    </row>
    <row r="18" spans="2:19" ht="22.5" x14ac:dyDescent="0.2">
      <c r="B18" s="138">
        <v>3</v>
      </c>
      <c r="C18" s="139">
        <f>RESUMEN!C17</f>
        <v>4</v>
      </c>
      <c r="D18" s="111" t="str">
        <f>VLOOKUP(C18,RESUMEN!$C$15:$D$35,2,0)</f>
        <v>MAQUINARIA INGENIERIA CONSTRUCCIÓN Y OBRAS S.A.S</v>
      </c>
      <c r="E18" s="140">
        <f>VLOOKUP(C18,FORMULA!$C$44:$H$64,3,0)</f>
        <v>20842067656</v>
      </c>
      <c r="F18" s="221">
        <f>VLOOKUP(C18,FORMULA!$C$44:$H$64,5,0)</f>
        <v>-1.2579707310461652E-3</v>
      </c>
      <c r="G18" s="199">
        <f>VLOOKUP(C18,FORMULA!$C$44:$H$64,6,0)</f>
        <v>892.89619999858996</v>
      </c>
      <c r="H18" s="141">
        <f>VLOOKUP($C18,RESUMEN!$C$15:$I$35,4,FALSE)</f>
        <v>0</v>
      </c>
      <c r="I18" s="141">
        <f>VLOOKUP($C18,RESUMEN!$C$15:$I$35,5,FALSE)</f>
        <v>100</v>
      </c>
      <c r="J18" s="141">
        <f>VLOOKUP($C18,RESUMEN!$C$15:$I$35,6,FALSE)</f>
        <v>0</v>
      </c>
      <c r="K18" s="244">
        <f t="shared" si="5"/>
        <v>992.89619999739</v>
      </c>
      <c r="L18" s="142">
        <v>1.2E-9</v>
      </c>
      <c r="M18" s="184">
        <f t="shared" si="0"/>
        <v>4</v>
      </c>
      <c r="O18" s="73">
        <f t="shared" si="1"/>
        <v>7</v>
      </c>
      <c r="P18" s="146">
        <f t="shared" ref="P18:P36" si="6">P17+1</f>
        <v>3</v>
      </c>
      <c r="Q18" s="147" t="str">
        <f t="shared" ca="1" si="2"/>
        <v>CONSORCIO SAMORÉ</v>
      </c>
      <c r="R18" s="185">
        <f t="shared" ca="1" si="3"/>
        <v>21</v>
      </c>
      <c r="S18" s="197">
        <f t="shared" ca="1" si="4"/>
        <v>996.3959558081076</v>
      </c>
    </row>
    <row r="19" spans="2:19" ht="18" x14ac:dyDescent="0.2">
      <c r="B19" s="138">
        <v>4</v>
      </c>
      <c r="C19" s="139">
        <f>RESUMEN!C18</f>
        <v>5</v>
      </c>
      <c r="D19" s="111" t="str">
        <f>VLOOKUP(C19,RESUMEN!$C$15:$D$35,2,0)</f>
        <v>EQUIPOS Y TRITURADOS S.A.S</v>
      </c>
      <c r="E19" s="140">
        <f>VLOOKUP(C19,FORMULA!$C$44:$H$64,3,0)</f>
        <v>20439514834</v>
      </c>
      <c r="F19" s="221">
        <f>VLOOKUP(C19,FORMULA!$C$44:$H$64,5,0)</f>
        <v>-2.0548111659865254E-2</v>
      </c>
      <c r="G19" s="199">
        <f>VLOOKUP(C19,FORMULA!$C$44:$H$64,6,0)</f>
        <v>886.10030291484509</v>
      </c>
      <c r="H19" s="141">
        <f>VLOOKUP($C19,RESUMEN!$C$15:$I$35,4,FALSE)</f>
        <v>0</v>
      </c>
      <c r="I19" s="141">
        <f>VLOOKUP($C19,RESUMEN!$C$15:$I$35,5,FALSE)</f>
        <v>100</v>
      </c>
      <c r="J19" s="141">
        <f>VLOOKUP($C19,RESUMEN!$C$15:$I$35,6,FALSE)</f>
        <v>0</v>
      </c>
      <c r="K19" s="244">
        <f t="shared" si="5"/>
        <v>986.10030291354508</v>
      </c>
      <c r="L19" s="142">
        <v>1.3000000000000001E-9</v>
      </c>
      <c r="M19" s="184">
        <f t="shared" si="0"/>
        <v>5</v>
      </c>
      <c r="O19" s="73">
        <f t="shared" si="1"/>
        <v>10</v>
      </c>
      <c r="P19" s="146">
        <f t="shared" si="6"/>
        <v>4</v>
      </c>
      <c r="Q19" s="147" t="str">
        <f t="shared" ca="1" si="2"/>
        <v>CONSORCIO INFRAESTRUCTURA ARAUCA</v>
      </c>
      <c r="R19" s="185">
        <f t="shared" ca="1" si="3"/>
        <v>30</v>
      </c>
      <c r="S19" s="197">
        <f t="shared" ca="1" si="4"/>
        <v>996.01155735280338</v>
      </c>
    </row>
    <row r="20" spans="2:19" ht="18" x14ac:dyDescent="0.2">
      <c r="B20" s="138">
        <v>5</v>
      </c>
      <c r="C20" s="139">
        <f>RESUMEN!C19</f>
        <v>6</v>
      </c>
      <c r="D20" s="111" t="str">
        <f>VLOOKUP(C20,RESUMEN!$C$15:$D$35,2,0)</f>
        <v>INGECON S.A</v>
      </c>
      <c r="E20" s="140">
        <f>VLOOKUP(C20,FORMULA!$C$44:$H$64,3,0)</f>
        <v>20712578177</v>
      </c>
      <c r="F20" s="221">
        <f>VLOOKUP(C20,FORMULA!$C$44:$H$64,5,0)</f>
        <v>-7.4630453503202743E-3</v>
      </c>
      <c r="G20" s="199">
        <f>VLOOKUP(C20,FORMULA!$C$44:$H$64,6,0)</f>
        <v>897.93823120777836</v>
      </c>
      <c r="H20" s="141">
        <f>VLOOKUP($C20,RESUMEN!$C$15:$I$35,4,FALSE)</f>
        <v>0</v>
      </c>
      <c r="I20" s="141">
        <f>VLOOKUP($C20,RESUMEN!$C$15:$I$35,5,FALSE)</f>
        <v>100</v>
      </c>
      <c r="J20" s="141">
        <f>VLOOKUP($C20,RESUMEN!$C$15:$I$35,6,FALSE)</f>
        <v>0</v>
      </c>
      <c r="K20" s="244">
        <f t="shared" si="5"/>
        <v>997.9382312063783</v>
      </c>
      <c r="L20" s="142">
        <v>1.3999999999999999E-9</v>
      </c>
      <c r="M20" s="184">
        <f t="shared" si="0"/>
        <v>6</v>
      </c>
      <c r="O20" s="73">
        <f t="shared" si="1"/>
        <v>2</v>
      </c>
      <c r="P20" s="146">
        <f t="shared" si="6"/>
        <v>5</v>
      </c>
      <c r="Q20" s="147" t="str">
        <f t="shared" ca="1" si="2"/>
        <v>CONSORCIO RUTA NACIONAL 2018</v>
      </c>
      <c r="R20" s="185">
        <f t="shared" ca="1" si="3"/>
        <v>31</v>
      </c>
      <c r="S20" s="197">
        <f t="shared" ca="1" si="4"/>
        <v>994.83663134222434</v>
      </c>
    </row>
    <row r="21" spans="2:19" ht="18" x14ac:dyDescent="0.2">
      <c r="B21" s="138">
        <v>6</v>
      </c>
      <c r="C21" s="139">
        <f>RESUMEN!C20</f>
        <v>7</v>
      </c>
      <c r="D21" s="111" t="str">
        <f>VLOOKUP(C21,RESUMEN!$C$15:$D$35,2,0)</f>
        <v>CONSORCIO DBS-AP</v>
      </c>
      <c r="E21" s="140">
        <f>VLOOKUP(C21,FORMULA!$C$44:$H$64,3,0)</f>
        <v>20750570760</v>
      </c>
      <c r="F21" s="221">
        <f>VLOOKUP(C21,FORMULA!$C$44:$H$64,5,0)</f>
        <v>-5.6424587334417131E-3</v>
      </c>
      <c r="G21" s="199">
        <f>VLOOKUP(C21,FORMULA!$C$44:$H$64,6,0)</f>
        <v>899.58529766597132</v>
      </c>
      <c r="H21" s="141">
        <f>VLOOKUP($C21,RESUMEN!$C$15:$I$35,4,FALSE)</f>
        <v>0</v>
      </c>
      <c r="I21" s="141">
        <f>VLOOKUP($C21,RESUMEN!$C$15:$I$35,5,FALSE)</f>
        <v>100</v>
      </c>
      <c r="J21" s="141">
        <f>VLOOKUP($C21,RESUMEN!$C$15:$I$35,6,FALSE)</f>
        <v>0</v>
      </c>
      <c r="K21" s="244">
        <f t="shared" si="5"/>
        <v>999.58529766447134</v>
      </c>
      <c r="L21" s="142">
        <v>1.5E-9</v>
      </c>
      <c r="M21" s="184">
        <f t="shared" si="0"/>
        <v>7</v>
      </c>
      <c r="O21" s="73">
        <f t="shared" si="1"/>
        <v>1</v>
      </c>
      <c r="P21" s="146">
        <f t="shared" si="6"/>
        <v>6</v>
      </c>
      <c r="Q21" s="147" t="str">
        <f t="shared" ca="1" si="2"/>
        <v>CONSORCIO VÍAS ARAUCA</v>
      </c>
      <c r="R21" s="185">
        <f t="shared" ca="1" si="3"/>
        <v>12</v>
      </c>
      <c r="S21" s="197">
        <f t="shared" ca="1" si="4"/>
        <v>993.16787481121276</v>
      </c>
    </row>
    <row r="22" spans="2:19" ht="36" x14ac:dyDescent="0.2">
      <c r="B22" s="138">
        <v>7</v>
      </c>
      <c r="C22" s="139">
        <f>RESUMEN!C21</f>
        <v>10</v>
      </c>
      <c r="D22" s="111" t="str">
        <f>VLOOKUP(C22,RESUMEN!$C$15:$D$35,2,0)</f>
        <v xml:space="preserve">CONSORCIO PUERTA DEL SOL </v>
      </c>
      <c r="E22" s="140" t="str">
        <f>VLOOKUP(C22,FORMULA!$C$44:$H$64,3,0)</f>
        <v>DESCARTADO</v>
      </c>
      <c r="F22" s="221" t="str">
        <f>VLOOKUP(C22,FORMULA!$C$44:$H$64,5,0)</f>
        <v>DESCARTADO</v>
      </c>
      <c r="G22" s="199" t="str">
        <f>VLOOKUP(C22,FORMULA!$C$44:$H$64,6,0)</f>
        <v>DESCARTADO</v>
      </c>
      <c r="H22" s="141">
        <f>VLOOKUP($C22,RESUMEN!$C$15:$I$35,4,FALSE)</f>
        <v>0</v>
      </c>
      <c r="I22" s="141">
        <f>VLOOKUP($C22,RESUMEN!$C$15:$I$35,5,FALSE)</f>
        <v>100</v>
      </c>
      <c r="J22" s="141">
        <f>VLOOKUP($C22,RESUMEN!$C$15:$I$35,6,FALSE)</f>
        <v>0</v>
      </c>
      <c r="K22" s="244">
        <f t="shared" si="5"/>
        <v>-1.6000000000000001E-9</v>
      </c>
      <c r="L22" s="142">
        <v>1.6000000000000001E-9</v>
      </c>
      <c r="M22" s="184">
        <f t="shared" si="0"/>
        <v>10</v>
      </c>
      <c r="O22" s="73">
        <f t="shared" si="1"/>
        <v>14</v>
      </c>
      <c r="P22" s="146">
        <f t="shared" si="6"/>
        <v>7</v>
      </c>
      <c r="Q22" s="147" t="str">
        <f t="shared" ca="1" si="2"/>
        <v>MAQUINARIA INGENIERIA CONSTRUCCIÓN Y OBRAS S.A.S</v>
      </c>
      <c r="R22" s="185">
        <f t="shared" ca="1" si="3"/>
        <v>4</v>
      </c>
      <c r="S22" s="197">
        <f t="shared" ca="1" si="4"/>
        <v>992.89619999739</v>
      </c>
    </row>
    <row r="23" spans="2:19" ht="18" x14ac:dyDescent="0.2">
      <c r="B23" s="138">
        <v>8</v>
      </c>
      <c r="C23" s="139">
        <f>RESUMEN!C22</f>
        <v>12</v>
      </c>
      <c r="D23" s="111" t="str">
        <f>VLOOKUP(C23,RESUMEN!$C$15:$D$35,2,0)</f>
        <v>CONSORCIO VÍAS ARAUCA</v>
      </c>
      <c r="E23" s="140">
        <f>VLOOKUP(C23,FORMULA!$C$44:$H$64,3,0)</f>
        <v>20602541232</v>
      </c>
      <c r="F23" s="221">
        <f>VLOOKUP(C23,FORMULA!$C$44:$H$64,5,0)</f>
        <v>-1.2735963736237643E-2</v>
      </c>
      <c r="G23" s="199">
        <f>VLOOKUP(C23,FORMULA!$C$44:$H$64,6,0)</f>
        <v>893.16787481291271</v>
      </c>
      <c r="H23" s="141">
        <f>VLOOKUP($C23,RESUMEN!$C$15:$I$35,4,FALSE)</f>
        <v>0</v>
      </c>
      <c r="I23" s="141">
        <f>VLOOKUP($C23,RESUMEN!$C$15:$I$35,5,FALSE)</f>
        <v>100</v>
      </c>
      <c r="J23" s="141">
        <f>VLOOKUP($C23,RESUMEN!$C$15:$I$35,6,FALSE)</f>
        <v>0</v>
      </c>
      <c r="K23" s="244">
        <f t="shared" si="5"/>
        <v>993.16787481121276</v>
      </c>
      <c r="L23" s="142">
        <v>1.6999999999999999E-9</v>
      </c>
      <c r="M23" s="184">
        <f t="shared" si="0"/>
        <v>12</v>
      </c>
      <c r="O23" s="73">
        <f t="shared" si="1"/>
        <v>6</v>
      </c>
      <c r="P23" s="146">
        <f t="shared" si="6"/>
        <v>8</v>
      </c>
      <c r="Q23" s="147" t="str">
        <f t="shared" ca="1" si="2"/>
        <v>CONSORCIO ZOMAC ARAUCA</v>
      </c>
      <c r="R23" s="185">
        <f t="shared" ca="1" si="3"/>
        <v>1</v>
      </c>
      <c r="S23" s="197">
        <f t="shared" ca="1" si="4"/>
        <v>991.11122544409272</v>
      </c>
    </row>
    <row r="24" spans="2:19" ht="18" x14ac:dyDescent="0.2">
      <c r="B24" s="138">
        <v>9</v>
      </c>
      <c r="C24" s="139">
        <f>RESUMEN!C23</f>
        <v>13</v>
      </c>
      <c r="D24" s="111" t="str">
        <f>VLOOKUP(C24,RESUMEN!$C$15:$D$35,2,0)</f>
        <v>U.T COROCORO- ARAUCA 2018</v>
      </c>
      <c r="E24" s="140" t="str">
        <f>VLOOKUP(C24,FORMULA!$C$44:$H$64,3,0)</f>
        <v>DESCARTADO</v>
      </c>
      <c r="F24" s="221" t="str">
        <f>VLOOKUP(C24,FORMULA!$C$44:$H$64,5,0)</f>
        <v>DESCARTADO</v>
      </c>
      <c r="G24" s="199" t="str">
        <f>VLOOKUP(C24,FORMULA!$C$44:$H$64,6,0)</f>
        <v>DESCARTADO</v>
      </c>
      <c r="H24" s="141">
        <f>VLOOKUP($C24,RESUMEN!$C$15:$I$35,4,FALSE)</f>
        <v>0</v>
      </c>
      <c r="I24" s="141">
        <f>VLOOKUP($C24,RESUMEN!$C$15:$I$35,5,FALSE)</f>
        <v>100</v>
      </c>
      <c r="J24" s="141">
        <f>VLOOKUP($C24,RESUMEN!$C$15:$I$35,6,FALSE)</f>
        <v>0</v>
      </c>
      <c r="K24" s="244">
        <f t="shared" si="5"/>
        <v>-1.8E-9</v>
      </c>
      <c r="L24" s="142">
        <v>1.8E-9</v>
      </c>
      <c r="M24" s="184">
        <f t="shared" si="0"/>
        <v>13</v>
      </c>
      <c r="O24" s="73">
        <f t="shared" si="1"/>
        <v>15</v>
      </c>
      <c r="P24" s="146">
        <f t="shared" si="6"/>
        <v>9</v>
      </c>
      <c r="Q24" s="147" t="str">
        <f t="shared" ca="1" si="2"/>
        <v>UNION TEMPORAL TAME COROCORO</v>
      </c>
      <c r="R24" s="185">
        <f t="shared" ca="1" si="3"/>
        <v>24</v>
      </c>
      <c r="S24" s="197">
        <f t="shared" ca="1" si="4"/>
        <v>990.82577029817776</v>
      </c>
    </row>
    <row r="25" spans="2:19" ht="18" x14ac:dyDescent="0.2">
      <c r="B25" s="138">
        <v>10</v>
      </c>
      <c r="C25" s="139">
        <f>RESUMEN!C24</f>
        <v>17</v>
      </c>
      <c r="D25" s="111" t="str">
        <f>VLOOKUP(C25,RESUMEN!$C$15:$D$35,2,0)</f>
        <v>U.T SERVICIOS E INGENIERIA COROCORO</v>
      </c>
      <c r="E25" s="140" t="str">
        <f>VLOOKUP(C25,FORMULA!$C$44:$H$64,3,0)</f>
        <v>DESCARTADO</v>
      </c>
      <c r="F25" s="221" t="str">
        <f>VLOOKUP(C25,FORMULA!$C$44:$H$64,5,0)</f>
        <v>DESCARTADO</v>
      </c>
      <c r="G25" s="199" t="str">
        <f>VLOOKUP(C25,FORMULA!$C$44:$H$64,6,0)</f>
        <v>DESCARTADO</v>
      </c>
      <c r="H25" s="141">
        <f>VLOOKUP($C25,RESUMEN!$C$15:$I$35,4,FALSE)</f>
        <v>0</v>
      </c>
      <c r="I25" s="141">
        <f>VLOOKUP($C25,RESUMEN!$C$15:$I$35,5,FALSE)</f>
        <v>100</v>
      </c>
      <c r="J25" s="141">
        <f>VLOOKUP($C25,RESUMEN!$C$15:$I$35,6,FALSE)</f>
        <v>0</v>
      </c>
      <c r="K25" s="244">
        <f t="shared" si="5"/>
        <v>-1.9000000000000001E-9</v>
      </c>
      <c r="L25" s="142">
        <v>1.9000000000000001E-9</v>
      </c>
      <c r="M25" s="184">
        <f t="shared" si="0"/>
        <v>17</v>
      </c>
      <c r="O25" s="73">
        <f t="shared" si="1"/>
        <v>16</v>
      </c>
      <c r="P25" s="146">
        <f t="shared" si="6"/>
        <v>10</v>
      </c>
      <c r="Q25" s="147" t="str">
        <f t="shared" ca="1" si="2"/>
        <v>EQUIPOS Y TRITURADOS S.A.S</v>
      </c>
      <c r="R25" s="185">
        <f t="shared" ca="1" si="3"/>
        <v>5</v>
      </c>
      <c r="S25" s="197">
        <f t="shared" ca="1" si="4"/>
        <v>986.10030291354508</v>
      </c>
    </row>
    <row r="26" spans="2:19" ht="18" x14ac:dyDescent="0.2">
      <c r="B26" s="138">
        <v>11</v>
      </c>
      <c r="C26" s="139">
        <f>RESUMEN!C25</f>
        <v>18</v>
      </c>
      <c r="D26" s="111" t="str">
        <f>VLOOKUP(C26,RESUMEN!$C$15:$D$35,2,0)</f>
        <v>CONSORCIO VIAL ARAUCA</v>
      </c>
      <c r="E26" s="140" t="str">
        <f>VLOOKUP(C26,FORMULA!$C$44:$H$64,3,0)</f>
        <v>DESCARTADO</v>
      </c>
      <c r="F26" s="221" t="str">
        <f>VLOOKUP(C26,FORMULA!$C$44:$H$64,5,0)</f>
        <v>DESCARTADO</v>
      </c>
      <c r="G26" s="199" t="str">
        <f>VLOOKUP(C26,FORMULA!$C$44:$H$64,6,0)</f>
        <v>DESCARTADO</v>
      </c>
      <c r="H26" s="141">
        <f>VLOOKUP($C26,RESUMEN!$C$15:$I$35,4,FALSE)</f>
        <v>0</v>
      </c>
      <c r="I26" s="141">
        <f>VLOOKUP($C26,RESUMEN!$C$15:$I$35,5,FALSE)</f>
        <v>100</v>
      </c>
      <c r="J26" s="141">
        <f>VLOOKUP($C26,RESUMEN!$C$15:$I$35,6,FALSE)</f>
        <v>0</v>
      </c>
      <c r="K26" s="244">
        <f t="shared" si="5"/>
        <v>-2.0000000000000001E-9</v>
      </c>
      <c r="L26" s="142">
        <v>2.0000000000000001E-9</v>
      </c>
      <c r="M26" s="184">
        <f t="shared" si="0"/>
        <v>18</v>
      </c>
      <c r="O26" s="73">
        <f t="shared" si="1"/>
        <v>17</v>
      </c>
      <c r="P26" s="146">
        <f t="shared" si="6"/>
        <v>11</v>
      </c>
      <c r="Q26" s="147" t="str">
        <f t="shared" ca="1" si="2"/>
        <v>CONSORCIO VIAL COROCORO 2018</v>
      </c>
      <c r="R26" s="185">
        <f t="shared" ca="1" si="3"/>
        <v>23</v>
      </c>
      <c r="S26" s="197">
        <f t="shared" ca="1" si="4"/>
        <v>981.9550693545558</v>
      </c>
    </row>
    <row r="27" spans="2:19" ht="18" x14ac:dyDescent="0.2">
      <c r="B27" s="138">
        <v>12</v>
      </c>
      <c r="C27" s="139">
        <f>RESUMEN!C26</f>
        <v>20</v>
      </c>
      <c r="D27" s="111" t="str">
        <f>VLOOKUP(C27,RESUMEN!$C$15:$D$35,2,0)</f>
        <v>CONSORCIO TAME 2018</v>
      </c>
      <c r="E27" s="140" t="str">
        <f>VLOOKUP(C27,FORMULA!$C$44:$H$64,3,0)</f>
        <v>DESCARTADO</v>
      </c>
      <c r="F27" s="221" t="str">
        <f>VLOOKUP(C27,FORMULA!$C$44:$H$64,5,0)</f>
        <v>DESCARTADO</v>
      </c>
      <c r="G27" s="199" t="str">
        <f>VLOOKUP(C27,FORMULA!$C$44:$H$64,6,0)</f>
        <v>DESCARTADO</v>
      </c>
      <c r="H27" s="141">
        <f>VLOOKUP($C27,RESUMEN!$C$15:$I$35,4,FALSE)</f>
        <v>0</v>
      </c>
      <c r="I27" s="141">
        <f>VLOOKUP($C27,RESUMEN!$C$15:$I$35,5,FALSE)</f>
        <v>100</v>
      </c>
      <c r="J27" s="141">
        <f>VLOOKUP($C27,RESUMEN!$C$15:$I$35,6,FALSE)</f>
        <v>0</v>
      </c>
      <c r="K27" s="244">
        <f t="shared" si="5"/>
        <v>-2.1000000000000002E-9</v>
      </c>
      <c r="L27" s="142">
        <v>2.1000000000000002E-9</v>
      </c>
      <c r="M27" s="184">
        <f t="shared" si="0"/>
        <v>20</v>
      </c>
      <c r="O27" s="73">
        <f t="shared" si="1"/>
        <v>18</v>
      </c>
      <c r="P27" s="146">
        <f t="shared" si="6"/>
        <v>12</v>
      </c>
      <c r="Q27" s="147" t="str">
        <f t="shared" ca="1" si="2"/>
        <v>CONSORCIO ECO-VIAS</v>
      </c>
      <c r="R27" s="185">
        <f t="shared" ca="1" si="3"/>
        <v>33</v>
      </c>
      <c r="S27" s="197">
        <f t="shared" ca="1" si="4"/>
        <v>980.97423291865675</v>
      </c>
    </row>
    <row r="28" spans="2:19" ht="18" x14ac:dyDescent="0.2">
      <c r="B28" s="138">
        <v>13</v>
      </c>
      <c r="C28" s="139">
        <f>RESUMEN!C27</f>
        <v>21</v>
      </c>
      <c r="D28" s="111" t="str">
        <f>VLOOKUP(C28,RESUMEN!$C$15:$D$35,2,0)</f>
        <v>CONSORCIO SAMORÉ</v>
      </c>
      <c r="E28" s="140">
        <f>VLOOKUP(C28,FORMULA!$C$44:$H$64,3,0)</f>
        <v>20801703540</v>
      </c>
      <c r="F28" s="221">
        <f>VLOOKUP(C28,FORMULA!$C$44:$H$64,5,0)</f>
        <v>-3.1922000881743351E-3</v>
      </c>
      <c r="G28" s="199">
        <f>VLOOKUP(C28,FORMULA!$C$44:$H$64,6,0)</f>
        <v>896.39595581030756</v>
      </c>
      <c r="H28" s="141">
        <f>VLOOKUP($C28,RESUMEN!$C$15:$I$35,4,FALSE)</f>
        <v>0</v>
      </c>
      <c r="I28" s="141">
        <f>VLOOKUP($C28,RESUMEN!$C$15:$I$35,5,FALSE)</f>
        <v>100</v>
      </c>
      <c r="J28" s="141">
        <f>VLOOKUP($C28,RESUMEN!$C$15:$I$35,6,FALSE)</f>
        <v>0</v>
      </c>
      <c r="K28" s="244">
        <f t="shared" si="5"/>
        <v>996.3959558081076</v>
      </c>
      <c r="L28" s="142">
        <v>2.1999999999999998E-9</v>
      </c>
      <c r="M28" s="184">
        <f t="shared" si="0"/>
        <v>21</v>
      </c>
      <c r="O28" s="73">
        <f t="shared" si="1"/>
        <v>3</v>
      </c>
      <c r="P28" s="146">
        <f t="shared" si="6"/>
        <v>13</v>
      </c>
      <c r="Q28" s="147" t="str">
        <f t="shared" ca="1" si="2"/>
        <v>CONSORCIO VÍA COROCORO</v>
      </c>
      <c r="R28" s="185">
        <f t="shared" ca="1" si="3"/>
        <v>3</v>
      </c>
      <c r="S28" s="197">
        <f t="shared" ca="1" si="4"/>
        <v>-1.0999999999999999E-9</v>
      </c>
    </row>
    <row r="29" spans="2:19" ht="18" x14ac:dyDescent="0.2">
      <c r="B29" s="138">
        <v>14</v>
      </c>
      <c r="C29" s="139">
        <f>RESUMEN!C28</f>
        <v>23</v>
      </c>
      <c r="D29" s="111" t="str">
        <f>VLOOKUP(C29,RESUMEN!$C$15:$D$35,2,0)</f>
        <v>CONSORCIO VIAL COROCORO 2018</v>
      </c>
      <c r="E29" s="140">
        <f>VLOOKUP(C29,FORMULA!$C$44:$H$64,3,0)</f>
        <v>20343897484</v>
      </c>
      <c r="F29" s="221">
        <f>VLOOKUP(C29,FORMULA!$C$44:$H$64,5,0)</f>
        <v>-2.5130049870051852E-2</v>
      </c>
      <c r="G29" s="199">
        <f>VLOOKUP(C29,FORMULA!$C$44:$H$64,6,0)</f>
        <v>881.9550693568558</v>
      </c>
      <c r="H29" s="141">
        <f>VLOOKUP($C29,RESUMEN!$C$15:$I$35,4,FALSE)</f>
        <v>0</v>
      </c>
      <c r="I29" s="141">
        <f>VLOOKUP($C29,RESUMEN!$C$15:$I$35,5,FALSE)</f>
        <v>100</v>
      </c>
      <c r="J29" s="141">
        <f>VLOOKUP($C29,RESUMEN!$C$15:$I$35,6,FALSE)</f>
        <v>0</v>
      </c>
      <c r="K29" s="244">
        <f t="shared" si="5"/>
        <v>981.9550693545558</v>
      </c>
      <c r="L29" s="142">
        <v>2.2999999999999999E-9</v>
      </c>
      <c r="M29" s="184">
        <f t="shared" si="0"/>
        <v>23</v>
      </c>
      <c r="O29" s="73">
        <f t="shared" si="1"/>
        <v>11</v>
      </c>
      <c r="P29" s="146">
        <f t="shared" si="6"/>
        <v>14</v>
      </c>
      <c r="Q29" s="147" t="str">
        <f t="shared" ca="1" si="2"/>
        <v xml:space="preserve">CONSORCIO PUERTA DEL SOL </v>
      </c>
      <c r="R29" s="185">
        <f t="shared" ca="1" si="3"/>
        <v>10</v>
      </c>
      <c r="S29" s="197">
        <f t="shared" ca="1" si="4"/>
        <v>-1.6000000000000001E-9</v>
      </c>
    </row>
    <row r="30" spans="2:19" ht="18" x14ac:dyDescent="0.2">
      <c r="B30" s="138">
        <v>15</v>
      </c>
      <c r="C30" s="139">
        <f>RESUMEN!C29</f>
        <v>24</v>
      </c>
      <c r="D30" s="111" t="str">
        <f>VLOOKUP(C30,RESUMEN!$C$15:$D$35,2,0)</f>
        <v>UNION TEMPORAL TAME COROCORO</v>
      </c>
      <c r="E30" s="140">
        <f>VLOOKUP(C30,FORMULA!$C$44:$H$64,3,0)</f>
        <v>20865946769</v>
      </c>
      <c r="F30" s="221">
        <f>VLOOKUP(C30,FORMULA!$C$44:$H$64,5,0)</f>
        <v>-1.1369492461488218E-4</v>
      </c>
      <c r="G30" s="199">
        <f>VLOOKUP(C30,FORMULA!$C$44:$H$64,6,0)</f>
        <v>890.8257703005778</v>
      </c>
      <c r="H30" s="141">
        <f>VLOOKUP($C30,RESUMEN!$C$15:$I$35,4,FALSE)</f>
        <v>0</v>
      </c>
      <c r="I30" s="141">
        <f>VLOOKUP($C30,RESUMEN!$C$15:$I$35,5,FALSE)</f>
        <v>100</v>
      </c>
      <c r="J30" s="141">
        <f>VLOOKUP($C30,RESUMEN!$C$15:$I$35,6,FALSE)</f>
        <v>0</v>
      </c>
      <c r="K30" s="244">
        <f t="shared" si="5"/>
        <v>990.82577029817776</v>
      </c>
      <c r="L30" s="142">
        <v>2.4E-9</v>
      </c>
      <c r="M30" s="184">
        <f t="shared" si="0"/>
        <v>24</v>
      </c>
      <c r="O30" s="73">
        <f t="shared" si="1"/>
        <v>9</v>
      </c>
      <c r="P30" s="146">
        <f t="shared" si="6"/>
        <v>15</v>
      </c>
      <c r="Q30" s="147" t="str">
        <f t="shared" ca="1" si="2"/>
        <v>U.T COROCORO- ARAUCA 2018</v>
      </c>
      <c r="R30" s="185">
        <f t="shared" ca="1" si="3"/>
        <v>13</v>
      </c>
      <c r="S30" s="197">
        <f t="shared" ca="1" si="4"/>
        <v>-1.8E-9</v>
      </c>
    </row>
    <row r="31" spans="2:19" ht="18" x14ac:dyDescent="0.2">
      <c r="B31" s="138">
        <v>16</v>
      </c>
      <c r="C31" s="139">
        <f>RESUMEN!C30</f>
        <v>25</v>
      </c>
      <c r="D31" s="111" t="str">
        <f>VLOOKUP(C31,RESUMEN!$C$15:$D$35,2,0)</f>
        <v>CONSORCIO TADEO VÍAS</v>
      </c>
      <c r="E31" s="140" t="str">
        <f>VLOOKUP(C31,FORMULA!$C$44:$H$64,3,0)</f>
        <v>DESCARTADO</v>
      </c>
      <c r="F31" s="221" t="str">
        <f>VLOOKUP(C31,FORMULA!$C$44:$H$64,5,0)</f>
        <v>DESCARTADO</v>
      </c>
      <c r="G31" s="199" t="str">
        <f>VLOOKUP(C31,FORMULA!$C$44:$H$64,6,0)</f>
        <v>DESCARTADO</v>
      </c>
      <c r="H31" s="141">
        <f>VLOOKUP($C31,RESUMEN!$C$15:$I$35,4,FALSE)</f>
        <v>0</v>
      </c>
      <c r="I31" s="141">
        <f>VLOOKUP($C31,RESUMEN!$C$15:$I$35,5,FALSE)</f>
        <v>100</v>
      </c>
      <c r="J31" s="141">
        <f>VLOOKUP($C31,RESUMEN!$C$15:$I$35,6,FALSE)</f>
        <v>0</v>
      </c>
      <c r="K31" s="244">
        <f t="shared" si="5"/>
        <v>-2.5000000000000001E-9</v>
      </c>
      <c r="L31" s="142">
        <v>2.5000000000000001E-9</v>
      </c>
      <c r="M31" s="184">
        <f t="shared" si="0"/>
        <v>25</v>
      </c>
      <c r="O31" s="73">
        <f t="shared" si="1"/>
        <v>19</v>
      </c>
      <c r="P31" s="146">
        <f t="shared" si="6"/>
        <v>16</v>
      </c>
      <c r="Q31" s="147" t="str">
        <f t="shared" ca="1" si="2"/>
        <v>U.T SERVICIOS E INGENIERIA COROCORO</v>
      </c>
      <c r="R31" s="185">
        <f t="shared" ca="1" si="3"/>
        <v>17</v>
      </c>
      <c r="S31" s="197">
        <f t="shared" ca="1" si="4"/>
        <v>-1.9000000000000001E-9</v>
      </c>
    </row>
    <row r="32" spans="2:19" ht="18" x14ac:dyDescent="0.2">
      <c r="B32" s="138">
        <v>17</v>
      </c>
      <c r="C32" s="139">
        <f>RESUMEN!C31</f>
        <v>27</v>
      </c>
      <c r="D32" s="111" t="str">
        <f>VLOOKUP(C32,RESUMEN!$C$15:$D$35,2,0)</f>
        <v>CONSORCIO DEL ORIENTE</v>
      </c>
      <c r="E32" s="140" t="str">
        <f>VLOOKUP(C32,FORMULA!$C$44:$H$64,3,0)</f>
        <v>DESCARTADO</v>
      </c>
      <c r="F32" s="221" t="str">
        <f>VLOOKUP(C32,FORMULA!$C$44:$H$64,5,0)</f>
        <v>DESCARTADO</v>
      </c>
      <c r="G32" s="199" t="str">
        <f>VLOOKUP(C32,FORMULA!$C$44:$H$64,6,0)</f>
        <v>DESCARTADO</v>
      </c>
      <c r="H32" s="141">
        <f>VLOOKUP($C32,RESUMEN!$C$15:$I$35,4,FALSE)</f>
        <v>0</v>
      </c>
      <c r="I32" s="141">
        <f>VLOOKUP($C32,RESUMEN!$C$15:$I$35,5,FALSE)</f>
        <v>100</v>
      </c>
      <c r="J32" s="141">
        <f>VLOOKUP($C32,RESUMEN!$C$15:$I$35,6,FALSE)</f>
        <v>0</v>
      </c>
      <c r="K32" s="244">
        <f t="shared" si="5"/>
        <v>-2.6000000000000001E-9</v>
      </c>
      <c r="L32" s="142">
        <v>2.6000000000000001E-9</v>
      </c>
      <c r="M32" s="184">
        <f t="shared" si="0"/>
        <v>27</v>
      </c>
      <c r="O32" s="73">
        <f t="shared" si="1"/>
        <v>20</v>
      </c>
      <c r="P32" s="146">
        <f t="shared" si="6"/>
        <v>17</v>
      </c>
      <c r="Q32" s="147" t="str">
        <f t="shared" ca="1" si="2"/>
        <v>CONSORCIO VIAL ARAUCA</v>
      </c>
      <c r="R32" s="185">
        <f t="shared" ca="1" si="3"/>
        <v>18</v>
      </c>
      <c r="S32" s="197">
        <f t="shared" ca="1" si="4"/>
        <v>-2.0000000000000001E-9</v>
      </c>
    </row>
    <row r="33" spans="2:19" ht="18" x14ac:dyDescent="0.2">
      <c r="B33" s="138">
        <v>18</v>
      </c>
      <c r="C33" s="139">
        <f>RESUMEN!C32</f>
        <v>29</v>
      </c>
      <c r="D33" s="111" t="str">
        <f>VLOOKUP(C33,RESUMEN!$C$15:$D$35,2,0)</f>
        <v>CONSORCIO VÍAS COLOMBIA 2019</v>
      </c>
      <c r="E33" s="140" t="str">
        <f>VLOOKUP(C33,FORMULA!$C$44:$H$64,3,0)</f>
        <v>DESCARTADO</v>
      </c>
      <c r="F33" s="221" t="str">
        <f>VLOOKUP(C33,FORMULA!$C$44:$H$64,5,0)</f>
        <v>DESCARTADO</v>
      </c>
      <c r="G33" s="199" t="str">
        <f>VLOOKUP(C33,FORMULA!$C$44:$H$64,6,0)</f>
        <v>DESCARTADO</v>
      </c>
      <c r="H33" s="141">
        <f>VLOOKUP($C33,RESUMEN!$C$15:$I$35,4,FALSE)</f>
        <v>0</v>
      </c>
      <c r="I33" s="141">
        <f>VLOOKUP($C33,RESUMEN!$C$15:$I$35,5,FALSE)</f>
        <v>100</v>
      </c>
      <c r="J33" s="141">
        <f>VLOOKUP($C33,RESUMEN!$C$15:$I$35,6,FALSE)</f>
        <v>0</v>
      </c>
      <c r="K33" s="244">
        <f t="shared" si="5"/>
        <v>-2.7000000000000002E-9</v>
      </c>
      <c r="L33" s="142">
        <v>2.7000000000000002E-9</v>
      </c>
      <c r="M33" s="184">
        <f t="shared" si="0"/>
        <v>29</v>
      </c>
      <c r="O33" s="73">
        <f t="shared" si="1"/>
        <v>21</v>
      </c>
      <c r="P33" s="146">
        <f t="shared" si="6"/>
        <v>18</v>
      </c>
      <c r="Q33" s="147" t="str">
        <f t="shared" ca="1" si="2"/>
        <v>CONSORCIO TAME 2018</v>
      </c>
      <c r="R33" s="185">
        <f t="shared" ca="1" si="3"/>
        <v>20</v>
      </c>
      <c r="S33" s="197">
        <f t="shared" ca="1" si="4"/>
        <v>-2.1000000000000002E-9</v>
      </c>
    </row>
    <row r="34" spans="2:19" ht="18" x14ac:dyDescent="0.2">
      <c r="B34" s="138">
        <v>19</v>
      </c>
      <c r="C34" s="139">
        <f>RESUMEN!C33</f>
        <v>30</v>
      </c>
      <c r="D34" s="111" t="str">
        <f>VLOOKUP(C34,RESUMEN!$C$15:$D$35,2,0)</f>
        <v>CONSORCIO INFRAESTRUCTURA ARAUCA</v>
      </c>
      <c r="E34" s="140">
        <f>VLOOKUP(C34,FORMULA!$C$44:$H$64,3,0)</f>
        <v>20668135941</v>
      </c>
      <c r="F34" s="221">
        <f>VLOOKUP(C34,FORMULA!$C$44:$H$64,5,0)</f>
        <v>-9.5926962899721691E-3</v>
      </c>
      <c r="G34" s="199">
        <f>VLOOKUP(C34,FORMULA!$C$44:$H$64,6,0)</f>
        <v>896.01155735560337</v>
      </c>
      <c r="H34" s="141">
        <f>VLOOKUP($C34,RESUMEN!$C$15:$I$35,4,FALSE)</f>
        <v>0</v>
      </c>
      <c r="I34" s="141">
        <f>VLOOKUP($C34,RESUMEN!$C$15:$I$35,5,FALSE)</f>
        <v>100</v>
      </c>
      <c r="J34" s="141">
        <f>VLOOKUP($C34,RESUMEN!$C$15:$I$35,6,FALSE)</f>
        <v>0</v>
      </c>
      <c r="K34" s="244">
        <f t="shared" si="5"/>
        <v>996.01155735280338</v>
      </c>
      <c r="L34" s="142">
        <v>2.7999999999999998E-9</v>
      </c>
      <c r="M34" s="184">
        <f t="shared" si="0"/>
        <v>30</v>
      </c>
      <c r="O34" s="73">
        <f t="shared" si="1"/>
        <v>4</v>
      </c>
      <c r="P34" s="146">
        <f t="shared" si="6"/>
        <v>19</v>
      </c>
      <c r="Q34" s="147" t="str">
        <f t="shared" ca="1" si="2"/>
        <v>CONSORCIO TADEO VÍAS</v>
      </c>
      <c r="R34" s="185">
        <f t="shared" ca="1" si="3"/>
        <v>25</v>
      </c>
      <c r="S34" s="197">
        <f t="shared" ca="1" si="4"/>
        <v>-2.5000000000000001E-9</v>
      </c>
    </row>
    <row r="35" spans="2:19" ht="18" x14ac:dyDescent="0.2">
      <c r="B35" s="138">
        <v>20</v>
      </c>
      <c r="C35" s="139">
        <f>RESUMEN!C34</f>
        <v>31</v>
      </c>
      <c r="D35" s="111" t="str">
        <f>VLOOKUP(C35,RESUMEN!$C$15:$D$35,2,0)</f>
        <v>CONSORCIO RUTA NACIONAL 2018</v>
      </c>
      <c r="E35" s="140">
        <f>VLOOKUP(C35,FORMULA!$C$44:$H$64,3,0)</f>
        <v>20641034136</v>
      </c>
      <c r="F35" s="221">
        <f>VLOOKUP(C35,FORMULA!$C$44:$H$64,5,0)</f>
        <v>-1.08914019735592E-2</v>
      </c>
      <c r="G35" s="199">
        <f>VLOOKUP(C35,FORMULA!$C$44:$H$64,6,0)</f>
        <v>894.83663134512437</v>
      </c>
      <c r="H35" s="141">
        <f>VLOOKUP($C35,RESUMEN!$C$15:$I$35,4,FALSE)</f>
        <v>0</v>
      </c>
      <c r="I35" s="141">
        <f>VLOOKUP($C35,RESUMEN!$C$15:$I$35,5,FALSE)</f>
        <v>100</v>
      </c>
      <c r="J35" s="141">
        <f>VLOOKUP($C35,RESUMEN!$C$15:$I$35,6,FALSE)</f>
        <v>0</v>
      </c>
      <c r="K35" s="244">
        <f t="shared" si="5"/>
        <v>994.83663134222434</v>
      </c>
      <c r="L35" s="142">
        <v>2.8999999999999999E-9</v>
      </c>
      <c r="M35" s="184">
        <f t="shared" si="0"/>
        <v>31</v>
      </c>
      <c r="O35" s="73">
        <f t="shared" si="1"/>
        <v>5</v>
      </c>
      <c r="P35" s="146">
        <f t="shared" si="6"/>
        <v>20</v>
      </c>
      <c r="Q35" s="147" t="str">
        <f t="shared" ca="1" si="2"/>
        <v>CONSORCIO DEL ORIENTE</v>
      </c>
      <c r="R35" s="185">
        <f t="shared" ca="1" si="3"/>
        <v>27</v>
      </c>
      <c r="S35" s="197">
        <f t="shared" ca="1" si="4"/>
        <v>-2.6000000000000001E-9</v>
      </c>
    </row>
    <row r="36" spans="2:19" ht="18" x14ac:dyDescent="0.2">
      <c r="B36" s="138">
        <v>21</v>
      </c>
      <c r="C36" s="139">
        <f>RESUMEN!C35</f>
        <v>33</v>
      </c>
      <c r="D36" s="111" t="str">
        <f>VLOOKUP(C36,RESUMEN!$C$15:$D$35,2,0)</f>
        <v>CONSORCIO ECO-VIAS</v>
      </c>
      <c r="E36" s="140">
        <f>VLOOKUP(C36,FORMULA!$C$44:$H$64,3,0)</f>
        <v>20321272708</v>
      </c>
      <c r="F36" s="221">
        <f>VLOOKUP(C36,FORMULA!$C$44:$H$64,5,0)</f>
        <v>-2.6214218440413939E-2</v>
      </c>
      <c r="G36" s="199">
        <f>VLOOKUP(C36,FORMULA!$C$44:$H$64,6,0)</f>
        <v>880.97423292165672</v>
      </c>
      <c r="H36" s="141">
        <f>VLOOKUP($C36,RESUMEN!$C$15:$I$35,4,FALSE)</f>
        <v>0</v>
      </c>
      <c r="I36" s="141">
        <f>VLOOKUP($C36,RESUMEN!$C$15:$I$35,5,FALSE)</f>
        <v>100</v>
      </c>
      <c r="J36" s="141">
        <f>VLOOKUP($C36,RESUMEN!$C$15:$I$35,6,FALSE)</f>
        <v>0</v>
      </c>
      <c r="K36" s="244">
        <f t="shared" si="5"/>
        <v>980.97423291865675</v>
      </c>
      <c r="L36" s="142">
        <v>3E-9</v>
      </c>
      <c r="M36" s="184">
        <f t="shared" si="0"/>
        <v>33</v>
      </c>
      <c r="O36" s="73">
        <f t="shared" si="1"/>
        <v>12</v>
      </c>
      <c r="P36" s="146">
        <f t="shared" si="6"/>
        <v>21</v>
      </c>
      <c r="Q36" s="147" t="str">
        <f t="shared" ca="1" si="2"/>
        <v>CONSORCIO VÍAS COLOMBIA 2019</v>
      </c>
      <c r="R36" s="185">
        <f t="shared" ca="1" si="3"/>
        <v>29</v>
      </c>
      <c r="S36" s="197">
        <f t="shared" ca="1" si="4"/>
        <v>-2.7000000000000002E-9</v>
      </c>
    </row>
    <row r="37" spans="2:19" ht="7.5" customHeight="1" x14ac:dyDescent="0.2">
      <c r="B37" s="126"/>
      <c r="C37" s="126"/>
      <c r="D37" s="127"/>
      <c r="E37" s="127"/>
      <c r="F37" s="128"/>
      <c r="G37" s="129"/>
      <c r="H37" s="129"/>
      <c r="I37" s="129"/>
      <c r="J37" s="129"/>
      <c r="K37" s="130"/>
      <c r="L37" s="131"/>
    </row>
    <row r="38" spans="2:19" x14ac:dyDescent="0.2">
      <c r="P38" s="410" t="str">
        <f ca="1">IF(P13="DESCARTADO","MODULO DESIERTO","")</f>
        <v/>
      </c>
      <c r="Q38" s="410"/>
      <c r="R38" s="410"/>
      <c r="S38" s="410"/>
    </row>
    <row r="39" spans="2:19" x14ac:dyDescent="0.2">
      <c r="L39" s="409"/>
      <c r="M39" s="409"/>
      <c r="P39" s="410"/>
      <c r="Q39" s="410"/>
      <c r="R39" s="410"/>
      <c r="S39" s="410"/>
    </row>
  </sheetData>
  <sheetProtection selectLockedCells="1"/>
  <mergeCells count="28">
    <mergeCell ref="D12:D14"/>
    <mergeCell ref="C12:C14"/>
    <mergeCell ref="B12:B14"/>
    <mergeCell ref="L39:M39"/>
    <mergeCell ref="P38:S39"/>
    <mergeCell ref="O11:O14"/>
    <mergeCell ref="P12:S12"/>
    <mergeCell ref="P13:S13"/>
    <mergeCell ref="L12:L14"/>
    <mergeCell ref="G12:J12"/>
    <mergeCell ref="K12:K13"/>
    <mergeCell ref="F12:F13"/>
    <mergeCell ref="E12:E13"/>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s>
  <phoneticPr fontId="4" type="noConversion"/>
  <conditionalFormatting sqref="G16:K36">
    <cfRule type="cellIs" dxfId="5" priority="22" stopIfTrue="1" operator="greaterThan">
      <formula>0</formula>
    </cfRule>
    <cfRule type="cellIs" dxfId="4" priority="23" stopIfTrue="1" operator="equal">
      <formula>0</formula>
    </cfRule>
  </conditionalFormatting>
  <conditionalFormatting sqref="L18 L20 B22:C22 B28:C28 B34:C34 K16:L16 B16:E16 L24 L30 L36 L26 L32 L22 L28 L34 D17:E36 K17:K36 O16:S36 F16:J36">
    <cfRule type="expression" dxfId="3" priority="30" stopIfTrue="1">
      <formula>MOD(ROW(),2)</formula>
    </cfRule>
  </conditionalFormatting>
  <conditionalFormatting sqref="E17:E36 F16:G36">
    <cfRule type="cellIs" dxfId="2" priority="21" stopIfTrue="1" operator="equal">
      <formula>"DESCARTADO"</formula>
    </cfRule>
  </conditionalFormatting>
  <conditionalFormatting sqref="B17:C21 L17 L19 L21 B23:C27 B29:C33 B35:C36 L23 L29 L35 L25 L31 L27 L33">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
&amp;A&amp;C&amp;P de &amp;N&amp;R&amp;9INSTITUTO NACIONAL DE VIAS
&amp;D</oddFooter>
  </headerFooter>
  <rowBreaks count="1" manualBreakCount="1">
    <brk id="36" min="1" max="18" man="1"/>
  </rowBreaks>
  <colBreaks count="1" manualBreakCount="1">
    <brk id="13" max="1048575" man="1"/>
  </colBreaks>
  <ignoredErrors>
    <ignoredError sqref="H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18"/>
    <col min="2" max="2" width="85.7109375" style="218" bestFit="1" customWidth="1"/>
    <col min="3" max="3" width="14.140625" style="218" bestFit="1" customWidth="1"/>
    <col min="4" max="4" width="47.42578125" style="218" bestFit="1" customWidth="1"/>
    <col min="5" max="16384" width="11.42578125" style="218"/>
  </cols>
  <sheetData>
    <row r="1" spans="1:4" ht="15.75" thickTop="1" x14ac:dyDescent="0.2">
      <c r="A1" s="278" t="s">
        <v>20</v>
      </c>
      <c r="B1" s="279" t="s">
        <v>19</v>
      </c>
      <c r="C1" s="279" t="s">
        <v>27</v>
      </c>
      <c r="D1" s="280" t="s">
        <v>85</v>
      </c>
    </row>
    <row r="2" spans="1:4" x14ac:dyDescent="0.2">
      <c r="A2" s="62">
        <v>1</v>
      </c>
      <c r="B2" s="70"/>
      <c r="C2" s="74" t="s">
        <v>8</v>
      </c>
      <c r="D2" s="74" t="s">
        <v>86</v>
      </c>
    </row>
    <row r="3" spans="1:4" x14ac:dyDescent="0.2">
      <c r="A3" s="63">
        <v>2</v>
      </c>
      <c r="B3" s="64"/>
      <c r="C3" s="75" t="s">
        <v>7</v>
      </c>
      <c r="D3" s="75" t="s">
        <v>87</v>
      </c>
    </row>
    <row r="4" spans="1:4" ht="13.5" thickBot="1" x14ac:dyDescent="0.25">
      <c r="A4" s="62">
        <v>3</v>
      </c>
      <c r="B4" s="64"/>
      <c r="C4" s="76" t="s">
        <v>12</v>
      </c>
      <c r="D4" s="75" t="s">
        <v>118</v>
      </c>
    </row>
    <row r="5" spans="1:4" ht="13.5" thickTop="1" x14ac:dyDescent="0.2">
      <c r="A5" s="63">
        <v>4</v>
      </c>
      <c r="B5" s="64"/>
      <c r="D5" s="196" t="s">
        <v>88</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RESUMEN</vt:lpstr>
      <vt:lpstr>VR-PROP</vt:lpstr>
      <vt:lpstr>FORMULA</vt:lpstr>
      <vt:lpstr>ELEGIBILIDAD</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Garcia Amaya Wilson</cp:lastModifiedBy>
  <cp:lastPrinted>2012-04-17T13:34:03Z</cp:lastPrinted>
  <dcterms:created xsi:type="dcterms:W3CDTF">2003-08-04T15:33:07Z</dcterms:created>
  <dcterms:modified xsi:type="dcterms:W3CDTF">2019-11-20T21:33:10Z</dcterms:modified>
</cp:coreProperties>
</file>