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LP-007-2018 ECO\"/>
    </mc:Choice>
  </mc:AlternateContent>
  <bookViews>
    <workbookView xWindow="9585" yWindow="945" windowWidth="9630" windowHeight="10170" activeTab="3"/>
  </bookViews>
  <sheets>
    <sheet name="RESUMEN" sheetId="13" r:id="rId1"/>
    <sheet name="VR-PROP" sheetId="15" r:id="rId2"/>
    <sheet name="FORMULA" sheetId="107" r:id="rId3"/>
    <sheet name="ELEGIBILIDAD" sheetId="10" r:id="rId4"/>
    <sheet name="1" sheetId="108" r:id="rId5"/>
    <sheet name="Listas" sheetId="106" state="veryHidden" r:id="rId6"/>
  </sheets>
  <definedNames>
    <definedName name="_xlnm._FilterDatabase" localSheetId="1" hidden="1">'VR-PROP'!$I$53:$K$57</definedName>
    <definedName name="_xlnm.Print_Area" localSheetId="3">ELEGIBILIDAD!$A$1:$T$37</definedName>
    <definedName name="_xlnm.Print_Area" localSheetId="0">RESUMEN!$B$1:$I$40</definedName>
    <definedName name="_xlnm.Print_Area" localSheetId="1">'VR-PROP'!$B$1:$K$57</definedName>
    <definedName name="DEPENDENCIAS">Listas!$B$2:$B$16</definedName>
    <definedName name="METEVA">Listas!$D$2:$D$5</definedName>
    <definedName name="RESULTADO">Listas!$C$2:$C$4</definedName>
    <definedName name="_xlnm.Print_Titles" localSheetId="3">ELEGIBILIDAD!$1:$15</definedName>
    <definedName name="_xlnm.Print_Titles" localSheetId="2">FORMULA!$1:$11</definedName>
    <definedName name="_xlnm.Print_Titles" localSheetId="1">'VR-PROP'!$B:$H</definedName>
  </definedNames>
  <calcPr calcId="152511"/>
</workbook>
</file>

<file path=xl/calcChain.xml><?xml version="1.0" encoding="utf-8"?>
<calcChain xmlns="http://schemas.openxmlformats.org/spreadsheetml/2006/main">
  <c r="BN41" i="15" l="1"/>
  <c r="BH41" i="15"/>
  <c r="AS38" i="15"/>
  <c r="AV41" i="15"/>
  <c r="AV38" i="15"/>
  <c r="AS41" i="15"/>
  <c r="U41" i="15"/>
  <c r="L41" i="15"/>
  <c r="F30" i="108"/>
  <c r="F27" i="108"/>
  <c r="F28" i="108"/>
  <c r="F3" i="108"/>
  <c r="F4" i="108"/>
  <c r="F5" i="108"/>
  <c r="F6" i="108"/>
  <c r="F7" i="108"/>
  <c r="F8" i="108"/>
  <c r="F9" i="108"/>
  <c r="F10" i="108"/>
  <c r="F11" i="108"/>
  <c r="F12" i="108"/>
  <c r="F13" i="108"/>
  <c r="F14" i="108"/>
  <c r="F15" i="108"/>
  <c r="F16" i="108"/>
  <c r="F17" i="108"/>
  <c r="F18" i="108"/>
  <c r="F19" i="108"/>
  <c r="F20" i="108"/>
  <c r="F21" i="108"/>
  <c r="F22" i="108"/>
  <c r="F23" i="108"/>
  <c r="F24" i="108"/>
  <c r="F25" i="108"/>
  <c r="F26" i="108"/>
  <c r="F2" i="108"/>
  <c r="BS50" i="15"/>
  <c r="BP50" i="15"/>
  <c r="BM50" i="15"/>
  <c r="BJ50" i="15"/>
  <c r="BG50" i="15"/>
  <c r="BD50" i="15"/>
  <c r="BA50" i="15"/>
  <c r="AX50" i="15"/>
  <c r="AU50" i="15"/>
  <c r="AR50" i="15"/>
  <c r="AO50" i="15"/>
  <c r="AL50" i="15"/>
  <c r="AI50" i="15"/>
  <c r="AF50" i="15"/>
  <c r="AC50" i="15"/>
  <c r="Z50" i="15"/>
  <c r="W50" i="15"/>
  <c r="T50" i="15"/>
  <c r="Q50" i="15"/>
  <c r="N50" i="15"/>
  <c r="BS49" i="15"/>
  <c r="BP49" i="15"/>
  <c r="BM49" i="15"/>
  <c r="BJ49" i="15"/>
  <c r="BG49" i="15"/>
  <c r="BD49" i="15"/>
  <c r="BA49" i="15"/>
  <c r="AX49" i="15"/>
  <c r="AU49" i="15"/>
  <c r="AR49" i="15"/>
  <c r="AO49" i="15"/>
  <c r="AL49" i="15"/>
  <c r="AI49" i="15"/>
  <c r="AF49" i="15"/>
  <c r="AC49" i="15"/>
  <c r="Z49" i="15"/>
  <c r="W49" i="15"/>
  <c r="T49" i="15"/>
  <c r="Q49" i="15"/>
  <c r="N49" i="15"/>
  <c r="BQ45" i="15"/>
  <c r="BN45" i="15"/>
  <c r="BK45" i="15"/>
  <c r="BH45" i="15"/>
  <c r="BE45" i="15"/>
  <c r="BB45" i="15"/>
  <c r="AY45" i="15"/>
  <c r="AV45" i="15"/>
  <c r="AS45" i="15"/>
  <c r="AP45" i="15"/>
  <c r="AM45" i="15"/>
  <c r="AJ45" i="15"/>
  <c r="AG45" i="15"/>
  <c r="AD45" i="15"/>
  <c r="AA45" i="15"/>
  <c r="X45" i="15"/>
  <c r="U45" i="15"/>
  <c r="R45" i="15"/>
  <c r="O45" i="15"/>
  <c r="L45" i="15"/>
  <c r="BS41" i="15"/>
  <c r="BR41" i="15"/>
  <c r="BP41" i="15"/>
  <c r="BO41" i="15"/>
  <c r="BO40" i="15" s="1"/>
  <c r="BM41" i="15"/>
  <c r="BL41" i="15"/>
  <c r="BJ41" i="15"/>
  <c r="BI41" i="15"/>
  <c r="BI40" i="15" s="1"/>
  <c r="BG41" i="15"/>
  <c r="BF41" i="15"/>
  <c r="BF40" i="15" s="1"/>
  <c r="BD41" i="15"/>
  <c r="BC41" i="15"/>
  <c r="BA41" i="15"/>
  <c r="AZ41" i="15"/>
  <c r="AX41" i="15"/>
  <c r="AW41" i="15"/>
  <c r="AW40" i="15" s="1"/>
  <c r="AU41" i="15"/>
  <c r="AT41" i="15"/>
  <c r="AT40" i="15" s="1"/>
  <c r="AR41" i="15"/>
  <c r="AQ41" i="15"/>
  <c r="AO41" i="15"/>
  <c r="AN41" i="15"/>
  <c r="AL41" i="15"/>
  <c r="AK41" i="15"/>
  <c r="AI41" i="15"/>
  <c r="AH41" i="15"/>
  <c r="AF41" i="15"/>
  <c r="AE41" i="15"/>
  <c r="AE40" i="15" s="1"/>
  <c r="AC41" i="15"/>
  <c r="AB41" i="15"/>
  <c r="Z41" i="15"/>
  <c r="Y41" i="15"/>
  <c r="W41" i="15"/>
  <c r="V41" i="15"/>
  <c r="T41" i="15"/>
  <c r="S41" i="15"/>
  <c r="S40" i="15" s="1"/>
  <c r="Q41" i="15"/>
  <c r="P41" i="15"/>
  <c r="N41" i="15"/>
  <c r="M41" i="15"/>
  <c r="BR40" i="15"/>
  <c r="BL40" i="15"/>
  <c r="BC40" i="15"/>
  <c r="AZ40" i="15"/>
  <c r="AQ40" i="15"/>
  <c r="AN40" i="15"/>
  <c r="AK40" i="15"/>
  <c r="AH40" i="15"/>
  <c r="AB40" i="15"/>
  <c r="Y40" i="15"/>
  <c r="V40" i="15"/>
  <c r="P40" i="15"/>
  <c r="M40" i="15"/>
  <c r="BS39" i="15"/>
  <c r="BR39" i="15"/>
  <c r="BR37" i="15" s="1"/>
  <c r="BP39" i="15"/>
  <c r="BO39" i="15"/>
  <c r="BM39" i="15"/>
  <c r="BL39" i="15"/>
  <c r="BJ39" i="15"/>
  <c r="BI39" i="15"/>
  <c r="BG39" i="15"/>
  <c r="BF39" i="15"/>
  <c r="BD39" i="15"/>
  <c r="BC39" i="15"/>
  <c r="BA39" i="15"/>
  <c r="AZ39" i="15"/>
  <c r="AX39" i="15"/>
  <c r="AW39" i="15"/>
  <c r="AU39" i="15"/>
  <c r="AT39" i="15"/>
  <c r="AR39" i="15"/>
  <c r="AQ39" i="15"/>
  <c r="AO39" i="15"/>
  <c r="AN39" i="15"/>
  <c r="AL39" i="15"/>
  <c r="AK39" i="15"/>
  <c r="AI39" i="15"/>
  <c r="AH39" i="15"/>
  <c r="AF39" i="15"/>
  <c r="AE39" i="15"/>
  <c r="AC39" i="15"/>
  <c r="AB39" i="15"/>
  <c r="Z39" i="15"/>
  <c r="Y39" i="15"/>
  <c r="W39" i="15"/>
  <c r="V39" i="15"/>
  <c r="T39" i="15"/>
  <c r="S39" i="15"/>
  <c r="Q39" i="15"/>
  <c r="P39" i="15"/>
  <c r="N39" i="15"/>
  <c r="M39" i="15"/>
  <c r="BS38" i="15"/>
  <c r="BR38" i="15"/>
  <c r="BP38" i="15"/>
  <c r="BO38" i="15"/>
  <c r="BM38" i="15"/>
  <c r="BL38" i="15"/>
  <c r="BJ38" i="15"/>
  <c r="BI38" i="15"/>
  <c r="BG38" i="15"/>
  <c r="BF38" i="15"/>
  <c r="BD38" i="15"/>
  <c r="BC38" i="15"/>
  <c r="BA38" i="15"/>
  <c r="AZ38" i="15"/>
  <c r="AX38" i="15"/>
  <c r="AW38" i="15"/>
  <c r="AU38" i="15"/>
  <c r="AT38" i="15"/>
  <c r="AT37" i="15" s="1"/>
  <c r="AR38" i="15"/>
  <c r="AQ38" i="15"/>
  <c r="AO38" i="15"/>
  <c r="AN38" i="15"/>
  <c r="AL38" i="15"/>
  <c r="AK38" i="15"/>
  <c r="AI38" i="15"/>
  <c r="AH38" i="15"/>
  <c r="AF38" i="15"/>
  <c r="AE38" i="15"/>
  <c r="AC38" i="15"/>
  <c r="AB38" i="15"/>
  <c r="AB37" i="15" s="1"/>
  <c r="Z38" i="15"/>
  <c r="Y38" i="15"/>
  <c r="W38" i="15"/>
  <c r="V38" i="15"/>
  <c r="T38" i="15"/>
  <c r="S38" i="15"/>
  <c r="S37" i="15" s="1"/>
  <c r="Q38" i="15"/>
  <c r="P38" i="15"/>
  <c r="N38" i="15"/>
  <c r="M38" i="15"/>
  <c r="M37" i="15" s="1"/>
  <c r="BO37" i="15"/>
  <c r="BL37" i="15"/>
  <c r="BI37" i="15"/>
  <c r="BC37" i="15"/>
  <c r="AZ37" i="15"/>
  <c r="AW37" i="15"/>
  <c r="AQ37" i="15"/>
  <c r="AN37" i="15"/>
  <c r="AK37" i="15"/>
  <c r="AH37" i="15"/>
  <c r="Y37" i="15"/>
  <c r="V37" i="15"/>
  <c r="P37" i="15"/>
  <c r="BS36" i="15"/>
  <c r="BR36" i="15"/>
  <c r="BP36" i="15"/>
  <c r="BO36" i="15"/>
  <c r="BM36" i="15"/>
  <c r="BL36" i="15"/>
  <c r="BJ36" i="15"/>
  <c r="BI36" i="15"/>
  <c r="BG36" i="15"/>
  <c r="BF36" i="15"/>
  <c r="BD36" i="15"/>
  <c r="BC36" i="15"/>
  <c r="BA36" i="15"/>
  <c r="AZ36" i="15"/>
  <c r="AX36" i="15"/>
  <c r="AW36" i="15"/>
  <c r="AU36" i="15"/>
  <c r="AT36" i="15"/>
  <c r="AR36" i="15"/>
  <c r="AQ36" i="15"/>
  <c r="AO36" i="15"/>
  <c r="AN36" i="15"/>
  <c r="AL36" i="15"/>
  <c r="AK36" i="15"/>
  <c r="AI36" i="15"/>
  <c r="AH36" i="15"/>
  <c r="AF36" i="15"/>
  <c r="AE36" i="15"/>
  <c r="AC36" i="15"/>
  <c r="AB36" i="15"/>
  <c r="Z36" i="15"/>
  <c r="Y36" i="15"/>
  <c r="W36" i="15"/>
  <c r="V36" i="15"/>
  <c r="T36" i="15"/>
  <c r="S36" i="15"/>
  <c r="Q36" i="15"/>
  <c r="P36" i="15"/>
  <c r="N36" i="15"/>
  <c r="M36" i="15"/>
  <c r="BS35" i="15"/>
  <c r="BR35" i="15"/>
  <c r="BP35" i="15"/>
  <c r="BO35" i="15"/>
  <c r="BM35" i="15"/>
  <c r="BL35" i="15"/>
  <c r="BJ35" i="15"/>
  <c r="BI35" i="15"/>
  <c r="BG35" i="15"/>
  <c r="BF35" i="15"/>
  <c r="BD35" i="15"/>
  <c r="BC35" i="15"/>
  <c r="BA35" i="15"/>
  <c r="AZ35" i="15"/>
  <c r="AX35" i="15"/>
  <c r="AW35" i="15"/>
  <c r="AU35" i="15"/>
  <c r="AT35" i="15"/>
  <c r="AR35" i="15"/>
  <c r="AQ35" i="15"/>
  <c r="AO35" i="15"/>
  <c r="AN35" i="15"/>
  <c r="AL35" i="15"/>
  <c r="AK35" i="15"/>
  <c r="AI35" i="15"/>
  <c r="AH35" i="15"/>
  <c r="AF35" i="15"/>
  <c r="AE35" i="15"/>
  <c r="AC35" i="15"/>
  <c r="AB35" i="15"/>
  <c r="Z35" i="15"/>
  <c r="Y35" i="15"/>
  <c r="W35" i="15"/>
  <c r="V35" i="15"/>
  <c r="T35" i="15"/>
  <c r="S35" i="15"/>
  <c r="Q35" i="15"/>
  <c r="P35" i="15"/>
  <c r="N35" i="15"/>
  <c r="M35" i="15"/>
  <c r="BS34" i="15"/>
  <c r="BR34" i="15"/>
  <c r="BP34" i="15"/>
  <c r="BO34" i="15"/>
  <c r="BM34" i="15"/>
  <c r="BL34" i="15"/>
  <c r="BJ34" i="15"/>
  <c r="BI34" i="15"/>
  <c r="BG34" i="15"/>
  <c r="BF34" i="15"/>
  <c r="BD34" i="15"/>
  <c r="BC34" i="15"/>
  <c r="BA34" i="15"/>
  <c r="AZ34" i="15"/>
  <c r="AX34" i="15"/>
  <c r="AW34" i="15"/>
  <c r="AU34" i="15"/>
  <c r="AT34" i="15"/>
  <c r="AR34" i="15"/>
  <c r="AQ34" i="15"/>
  <c r="AO34" i="15"/>
  <c r="AN34" i="15"/>
  <c r="AL34" i="15"/>
  <c r="AK34" i="15"/>
  <c r="AI34" i="15"/>
  <c r="AH34" i="15"/>
  <c r="AF34" i="15"/>
  <c r="AE34" i="15"/>
  <c r="AC34" i="15"/>
  <c r="AB34" i="15"/>
  <c r="Z34" i="15"/>
  <c r="Y34" i="15"/>
  <c r="W34" i="15"/>
  <c r="V34" i="15"/>
  <c r="T34" i="15"/>
  <c r="S34" i="15"/>
  <c r="Q34" i="15"/>
  <c r="P34" i="15"/>
  <c r="N34" i="15"/>
  <c r="M34" i="15"/>
  <c r="BS33" i="15"/>
  <c r="BR33" i="15"/>
  <c r="BP33" i="15"/>
  <c r="BO33" i="15"/>
  <c r="BM33" i="15"/>
  <c r="BL33" i="15"/>
  <c r="BJ33" i="15"/>
  <c r="BI33" i="15"/>
  <c r="BG33" i="15"/>
  <c r="BF33" i="15"/>
  <c r="BD33" i="15"/>
  <c r="BC33" i="15"/>
  <c r="BA33" i="15"/>
  <c r="AZ33" i="15"/>
  <c r="AX33" i="15"/>
  <c r="AW33" i="15"/>
  <c r="AU33" i="15"/>
  <c r="AT33" i="15"/>
  <c r="AR33" i="15"/>
  <c r="AQ33" i="15"/>
  <c r="AO33" i="15"/>
  <c r="AN33" i="15"/>
  <c r="AL33" i="15"/>
  <c r="AK33" i="15"/>
  <c r="AI33" i="15"/>
  <c r="AH33" i="15"/>
  <c r="AF33" i="15"/>
  <c r="AE33" i="15"/>
  <c r="AC33" i="15"/>
  <c r="AB33" i="15"/>
  <c r="Z33" i="15"/>
  <c r="Y33" i="15"/>
  <c r="W33" i="15"/>
  <c r="V33" i="15"/>
  <c r="T33" i="15"/>
  <c r="S33" i="15"/>
  <c r="Q33" i="15"/>
  <c r="P33" i="15"/>
  <c r="N33" i="15"/>
  <c r="M33" i="15"/>
  <c r="BS32" i="15"/>
  <c r="BR32" i="15"/>
  <c r="BP32" i="15"/>
  <c r="BO32" i="15"/>
  <c r="BM32" i="15"/>
  <c r="BL32" i="15"/>
  <c r="BJ32" i="15"/>
  <c r="BI32" i="15"/>
  <c r="BG32" i="15"/>
  <c r="BF32" i="15"/>
  <c r="BD32" i="15"/>
  <c r="BC32" i="15"/>
  <c r="BA32" i="15"/>
  <c r="AZ32" i="15"/>
  <c r="AX32" i="15"/>
  <c r="AW32" i="15"/>
  <c r="AU32" i="15"/>
  <c r="AT32" i="15"/>
  <c r="AR32" i="15"/>
  <c r="AQ32" i="15"/>
  <c r="AO32" i="15"/>
  <c r="AN32" i="15"/>
  <c r="AL32" i="15"/>
  <c r="AK32" i="15"/>
  <c r="AI32" i="15"/>
  <c r="AH32" i="15"/>
  <c r="AF32" i="15"/>
  <c r="AE32" i="15"/>
  <c r="AC32" i="15"/>
  <c r="AB32" i="15"/>
  <c r="Z32" i="15"/>
  <c r="Y32" i="15"/>
  <c r="W32" i="15"/>
  <c r="V32" i="15"/>
  <c r="T32" i="15"/>
  <c r="S32" i="15"/>
  <c r="Q32" i="15"/>
  <c r="P32" i="15"/>
  <c r="N32" i="15"/>
  <c r="M32" i="15"/>
  <c r="BS31" i="15"/>
  <c r="BR31" i="15"/>
  <c r="BP31" i="15"/>
  <c r="BO31" i="15"/>
  <c r="BM31" i="15"/>
  <c r="BL31" i="15"/>
  <c r="BJ31" i="15"/>
  <c r="BI31" i="15"/>
  <c r="BG31" i="15"/>
  <c r="BF31" i="15"/>
  <c r="BD31" i="15"/>
  <c r="BC31" i="15"/>
  <c r="BA31" i="15"/>
  <c r="AZ31" i="15"/>
  <c r="AX31" i="15"/>
  <c r="AW31" i="15"/>
  <c r="AU31" i="15"/>
  <c r="AT31" i="15"/>
  <c r="AR31" i="15"/>
  <c r="AQ31" i="15"/>
  <c r="AO31" i="15"/>
  <c r="AN31" i="15"/>
  <c r="AL31" i="15"/>
  <c r="AK31" i="15"/>
  <c r="AI31" i="15"/>
  <c r="AH31" i="15"/>
  <c r="AF31" i="15"/>
  <c r="AE31" i="15"/>
  <c r="AC31" i="15"/>
  <c r="AB31" i="15"/>
  <c r="Z31" i="15"/>
  <c r="Y31" i="15"/>
  <c r="W31" i="15"/>
  <c r="V31" i="15"/>
  <c r="T31" i="15"/>
  <c r="S31" i="15"/>
  <c r="Q31" i="15"/>
  <c r="P31" i="15"/>
  <c r="N31" i="15"/>
  <c r="M31" i="15"/>
  <c r="BS30" i="15"/>
  <c r="BR30" i="15"/>
  <c r="BP30" i="15"/>
  <c r="BO30" i="15"/>
  <c r="BM30" i="15"/>
  <c r="BL30" i="15"/>
  <c r="BJ30" i="15"/>
  <c r="BI30" i="15"/>
  <c r="BG30" i="15"/>
  <c r="BF30" i="15"/>
  <c r="BD30" i="15"/>
  <c r="BC30" i="15"/>
  <c r="BA30" i="15"/>
  <c r="AZ30" i="15"/>
  <c r="AX30" i="15"/>
  <c r="AW30" i="15"/>
  <c r="AU30" i="15"/>
  <c r="AT30" i="15"/>
  <c r="AR30" i="15"/>
  <c r="AQ30" i="15"/>
  <c r="AO30" i="15"/>
  <c r="AN30" i="15"/>
  <c r="AL30" i="15"/>
  <c r="AK30" i="15"/>
  <c r="AI30" i="15"/>
  <c r="AH30" i="15"/>
  <c r="AF30" i="15"/>
  <c r="AE30" i="15"/>
  <c r="AC30" i="15"/>
  <c r="AB30" i="15"/>
  <c r="Z30" i="15"/>
  <c r="Y30" i="15"/>
  <c r="W30" i="15"/>
  <c r="V30" i="15"/>
  <c r="T30" i="15"/>
  <c r="S30" i="15"/>
  <c r="Q30" i="15"/>
  <c r="P30" i="15"/>
  <c r="N30" i="15"/>
  <c r="M30" i="15"/>
  <c r="BS29" i="15"/>
  <c r="BR29" i="15"/>
  <c r="BP29" i="15"/>
  <c r="BO29" i="15"/>
  <c r="BM29" i="15"/>
  <c r="BL29" i="15"/>
  <c r="BJ29" i="15"/>
  <c r="BI29" i="15"/>
  <c r="BG29" i="15"/>
  <c r="BF29" i="15"/>
  <c r="BD29" i="15"/>
  <c r="BC29" i="15"/>
  <c r="BA29" i="15"/>
  <c r="AZ29" i="15"/>
  <c r="AX29" i="15"/>
  <c r="AW29" i="15"/>
  <c r="AU29" i="15"/>
  <c r="AT29" i="15"/>
  <c r="AR29" i="15"/>
  <c r="AQ29" i="15"/>
  <c r="AO29" i="15"/>
  <c r="AN29" i="15"/>
  <c r="AL29" i="15"/>
  <c r="AK29" i="15"/>
  <c r="AI29" i="15"/>
  <c r="AH29" i="15"/>
  <c r="AF29" i="15"/>
  <c r="AE29" i="15"/>
  <c r="AC29" i="15"/>
  <c r="AB29" i="15"/>
  <c r="Z29" i="15"/>
  <c r="Y29" i="15"/>
  <c r="W29" i="15"/>
  <c r="V29" i="15"/>
  <c r="T29" i="15"/>
  <c r="S29" i="15"/>
  <c r="Q29" i="15"/>
  <c r="P29" i="15"/>
  <c r="N29" i="15"/>
  <c r="M29" i="15"/>
  <c r="BS28" i="15"/>
  <c r="BR28" i="15"/>
  <c r="BP28" i="15"/>
  <c r="BO28" i="15"/>
  <c r="BM28" i="15"/>
  <c r="BL28" i="15"/>
  <c r="BJ28" i="15"/>
  <c r="BI28" i="15"/>
  <c r="BG28" i="15"/>
  <c r="BF28" i="15"/>
  <c r="BD28" i="15"/>
  <c r="BC28" i="15"/>
  <c r="BA28" i="15"/>
  <c r="AZ28" i="15"/>
  <c r="AX28" i="15"/>
  <c r="AW28" i="15"/>
  <c r="AU28" i="15"/>
  <c r="AT28" i="15"/>
  <c r="AR28" i="15"/>
  <c r="AQ28" i="15"/>
  <c r="AO28" i="15"/>
  <c r="AN28" i="15"/>
  <c r="AL28" i="15"/>
  <c r="AK28" i="15"/>
  <c r="AI28" i="15"/>
  <c r="AH28" i="15"/>
  <c r="AF28" i="15"/>
  <c r="AE28" i="15"/>
  <c r="AC28" i="15"/>
  <c r="AB28" i="15"/>
  <c r="Z28" i="15"/>
  <c r="Y28" i="15"/>
  <c r="W28" i="15"/>
  <c r="V28" i="15"/>
  <c r="T28" i="15"/>
  <c r="S28" i="15"/>
  <c r="Q28" i="15"/>
  <c r="P28" i="15"/>
  <c r="N28" i="15"/>
  <c r="M28" i="15"/>
  <c r="BS27" i="15"/>
  <c r="BR27" i="15"/>
  <c r="BP27" i="15"/>
  <c r="BO27" i="15"/>
  <c r="BM27" i="15"/>
  <c r="BL27" i="15"/>
  <c r="BJ27" i="15"/>
  <c r="BI27" i="15"/>
  <c r="BG27" i="15"/>
  <c r="BF27" i="15"/>
  <c r="BD27" i="15"/>
  <c r="BC27" i="15"/>
  <c r="BC26" i="15" s="1"/>
  <c r="BA27" i="15"/>
  <c r="AZ27" i="15"/>
  <c r="AX27" i="15"/>
  <c r="AW27" i="15"/>
  <c r="AU27" i="15"/>
  <c r="AT27" i="15"/>
  <c r="AT26" i="15" s="1"/>
  <c r="AR27" i="15"/>
  <c r="AQ27" i="15"/>
  <c r="AQ26" i="15" s="1"/>
  <c r="AO27" i="15"/>
  <c r="AN27" i="15"/>
  <c r="AL27" i="15"/>
  <c r="AK27" i="15"/>
  <c r="AI27" i="15"/>
  <c r="AH27" i="15"/>
  <c r="AF27" i="15"/>
  <c r="AE27" i="15"/>
  <c r="AE26" i="15" s="1"/>
  <c r="AC27" i="15"/>
  <c r="AB27" i="15"/>
  <c r="Z27" i="15"/>
  <c r="Y27" i="15"/>
  <c r="W27" i="15"/>
  <c r="V27" i="15"/>
  <c r="T27" i="15"/>
  <c r="S27" i="15"/>
  <c r="Q27" i="15"/>
  <c r="P27" i="15"/>
  <c r="N27" i="15"/>
  <c r="M27" i="15"/>
  <c r="BR26" i="15"/>
  <c r="BL26" i="15"/>
  <c r="AZ26" i="15"/>
  <c r="AN26" i="15"/>
  <c r="AK26" i="15"/>
  <c r="AH26" i="15"/>
  <c r="Y26" i="15"/>
  <c r="P26" i="15"/>
  <c r="BS25" i="15"/>
  <c r="BR25" i="15"/>
  <c r="BP25" i="15"/>
  <c r="BO25" i="15"/>
  <c r="BM25" i="15"/>
  <c r="BL25" i="15"/>
  <c r="BJ25" i="15"/>
  <c r="BI25" i="15"/>
  <c r="BG25" i="15"/>
  <c r="BF25" i="15"/>
  <c r="BD25" i="15"/>
  <c r="BC25" i="15"/>
  <c r="BA25" i="15"/>
  <c r="AZ25" i="15"/>
  <c r="AX25" i="15"/>
  <c r="AW25" i="15"/>
  <c r="AU25" i="15"/>
  <c r="AT25" i="15"/>
  <c r="AR25" i="15"/>
  <c r="AQ25" i="15"/>
  <c r="AO25" i="15"/>
  <c r="AN25" i="15"/>
  <c r="AL25" i="15"/>
  <c r="AK25" i="15"/>
  <c r="AI25" i="15"/>
  <c r="AH25" i="15"/>
  <c r="AF25" i="15"/>
  <c r="AE25" i="15"/>
  <c r="AC25" i="15"/>
  <c r="AB25" i="15"/>
  <c r="Z25" i="15"/>
  <c r="Y25" i="15"/>
  <c r="W25" i="15"/>
  <c r="V25" i="15"/>
  <c r="T25" i="15"/>
  <c r="S25" i="15"/>
  <c r="Q25" i="15"/>
  <c r="P25" i="15"/>
  <c r="N25" i="15"/>
  <c r="M25" i="15"/>
  <c r="BS24" i="15"/>
  <c r="BR24" i="15"/>
  <c r="BP24" i="15"/>
  <c r="BO24" i="15"/>
  <c r="BM24" i="15"/>
  <c r="BL24" i="15"/>
  <c r="BJ24" i="15"/>
  <c r="BI24" i="15"/>
  <c r="BG24" i="15"/>
  <c r="BF24" i="15"/>
  <c r="BF22" i="15" s="1"/>
  <c r="BD24" i="15"/>
  <c r="BC24" i="15"/>
  <c r="BA24" i="15"/>
  <c r="AZ24" i="15"/>
  <c r="AX24" i="15"/>
  <c r="AW24" i="15"/>
  <c r="AU24" i="15"/>
  <c r="AT24" i="15"/>
  <c r="AR24" i="15"/>
  <c r="AQ24" i="15"/>
  <c r="AO24" i="15"/>
  <c r="AN24" i="15"/>
  <c r="AL24" i="15"/>
  <c r="AK24" i="15"/>
  <c r="AI24" i="15"/>
  <c r="AH24" i="15"/>
  <c r="AF24" i="15"/>
  <c r="AE24" i="15"/>
  <c r="AC24" i="15"/>
  <c r="AB24" i="15"/>
  <c r="Z24" i="15"/>
  <c r="Y24" i="15"/>
  <c r="W24" i="15"/>
  <c r="V24" i="15"/>
  <c r="T24" i="15"/>
  <c r="S24" i="15"/>
  <c r="Q24" i="15"/>
  <c r="P24" i="15"/>
  <c r="N24" i="15"/>
  <c r="M24" i="15"/>
  <c r="BS23" i="15"/>
  <c r="BR23" i="15"/>
  <c r="BP23" i="15"/>
  <c r="BO23" i="15"/>
  <c r="BO22" i="15" s="1"/>
  <c r="BM23" i="15"/>
  <c r="BL23" i="15"/>
  <c r="BJ23" i="15"/>
  <c r="BI23" i="15"/>
  <c r="BI22" i="15" s="1"/>
  <c r="BG23" i="15"/>
  <c r="BF23" i="15"/>
  <c r="BD23" i="15"/>
  <c r="BC23" i="15"/>
  <c r="BA23" i="15"/>
  <c r="AZ23" i="15"/>
  <c r="AX23" i="15"/>
  <c r="AW23" i="15"/>
  <c r="AU23" i="15"/>
  <c r="AT23" i="15"/>
  <c r="AT22" i="15" s="1"/>
  <c r="AR23" i="15"/>
  <c r="AQ23" i="15"/>
  <c r="AQ22" i="15" s="1"/>
  <c r="AO23" i="15"/>
  <c r="AN23" i="15"/>
  <c r="AL23" i="15"/>
  <c r="AK23" i="15"/>
  <c r="AI23" i="15"/>
  <c r="AH23" i="15"/>
  <c r="AF23" i="15"/>
  <c r="AE23" i="15"/>
  <c r="AE22" i="15" s="1"/>
  <c r="AC23" i="15"/>
  <c r="AB23" i="15"/>
  <c r="AB22" i="15" s="1"/>
  <c r="Z23" i="15"/>
  <c r="Y23" i="15"/>
  <c r="W23" i="15"/>
  <c r="V23" i="15"/>
  <c r="T23" i="15"/>
  <c r="S23" i="15"/>
  <c r="S22" i="15" s="1"/>
  <c r="Q23" i="15"/>
  <c r="P23" i="15"/>
  <c r="N23" i="15"/>
  <c r="M23" i="15"/>
  <c r="BR22" i="15"/>
  <c r="BL22" i="15"/>
  <c r="AZ22" i="15"/>
  <c r="AW22" i="15"/>
  <c r="AN22" i="15"/>
  <c r="AK22" i="15"/>
  <c r="AH22" i="15"/>
  <c r="Y22" i="15"/>
  <c r="V22" i="15"/>
  <c r="P22" i="15"/>
  <c r="M22" i="15"/>
  <c r="BS21" i="15"/>
  <c r="BR21" i="15"/>
  <c r="BP21" i="15"/>
  <c r="BO21" i="15"/>
  <c r="BM21" i="15"/>
  <c r="BL21" i="15"/>
  <c r="BJ21" i="15"/>
  <c r="BI21" i="15"/>
  <c r="BG21" i="15"/>
  <c r="BF21" i="15"/>
  <c r="BD21" i="15"/>
  <c r="BC21" i="15"/>
  <c r="BA21" i="15"/>
  <c r="AZ21" i="15"/>
  <c r="AX21" i="15"/>
  <c r="AW21" i="15"/>
  <c r="AU21" i="15"/>
  <c r="AT21" i="15"/>
  <c r="AR21" i="15"/>
  <c r="AQ21" i="15"/>
  <c r="AO21" i="15"/>
  <c r="AN21" i="15"/>
  <c r="AL21" i="15"/>
  <c r="AK21" i="15"/>
  <c r="AI21" i="15"/>
  <c r="AH21" i="15"/>
  <c r="AF21" i="15"/>
  <c r="AE21" i="15"/>
  <c r="AC21" i="15"/>
  <c r="AB21" i="15"/>
  <c r="Z21" i="15"/>
  <c r="Y21" i="15"/>
  <c r="W21" i="15"/>
  <c r="V21" i="15"/>
  <c r="T21" i="15"/>
  <c r="S21" i="15"/>
  <c r="Q21" i="15"/>
  <c r="P21" i="15"/>
  <c r="N21" i="15"/>
  <c r="M21" i="15"/>
  <c r="BS20" i="15"/>
  <c r="BR20" i="15"/>
  <c r="BP20" i="15"/>
  <c r="BO20" i="15"/>
  <c r="BM20" i="15"/>
  <c r="BL20" i="15"/>
  <c r="BJ20" i="15"/>
  <c r="BI20" i="15"/>
  <c r="BG20" i="15"/>
  <c r="BF20" i="15"/>
  <c r="BD20" i="15"/>
  <c r="BC20" i="15"/>
  <c r="BA20" i="15"/>
  <c r="AZ20" i="15"/>
  <c r="AX20" i="15"/>
  <c r="AW20" i="15"/>
  <c r="AU20" i="15"/>
  <c r="AT20" i="15"/>
  <c r="AR20" i="15"/>
  <c r="AQ20" i="15"/>
  <c r="AO20" i="15"/>
  <c r="AN20" i="15"/>
  <c r="AL20" i="15"/>
  <c r="AK20" i="15"/>
  <c r="AI20" i="15"/>
  <c r="AH20" i="15"/>
  <c r="AF20" i="15"/>
  <c r="AE20" i="15"/>
  <c r="AC20" i="15"/>
  <c r="AB20" i="15"/>
  <c r="Z20" i="15"/>
  <c r="Y20" i="15"/>
  <c r="W20" i="15"/>
  <c r="V20" i="15"/>
  <c r="T20" i="15"/>
  <c r="S20" i="15"/>
  <c r="Q20" i="15"/>
  <c r="P20" i="15"/>
  <c r="N20" i="15"/>
  <c r="M20" i="15"/>
  <c r="BS19" i="15"/>
  <c r="BR19" i="15"/>
  <c r="BR18" i="15" s="1"/>
  <c r="BP19" i="15"/>
  <c r="BO19" i="15"/>
  <c r="BO18" i="15" s="1"/>
  <c r="BM19" i="15"/>
  <c r="BL19" i="15"/>
  <c r="BJ19" i="15"/>
  <c r="BI19" i="15"/>
  <c r="BG19" i="15"/>
  <c r="BF19" i="15"/>
  <c r="BD19" i="15"/>
  <c r="BC19" i="15"/>
  <c r="BA19" i="15"/>
  <c r="AZ19" i="15"/>
  <c r="AX19" i="15"/>
  <c r="AW19" i="15"/>
  <c r="AW18" i="15" s="1"/>
  <c r="AU19" i="15"/>
  <c r="AT19" i="15"/>
  <c r="AR19" i="15"/>
  <c r="AQ19" i="15"/>
  <c r="AQ18" i="15" s="1"/>
  <c r="AO19" i="15"/>
  <c r="AN19" i="15"/>
  <c r="AL19" i="15"/>
  <c r="AK19" i="15"/>
  <c r="AK18" i="15" s="1"/>
  <c r="AI19" i="15"/>
  <c r="AH19" i="15"/>
  <c r="AF19" i="15"/>
  <c r="AE19" i="15"/>
  <c r="AC19" i="15"/>
  <c r="AB19" i="15"/>
  <c r="AB18" i="15" s="1"/>
  <c r="Z19" i="15"/>
  <c r="Y19" i="15"/>
  <c r="W19" i="15"/>
  <c r="V19" i="15"/>
  <c r="T19" i="15"/>
  <c r="S19" i="15"/>
  <c r="S18" i="15" s="1"/>
  <c r="Q19" i="15"/>
  <c r="P19" i="15"/>
  <c r="N19" i="15"/>
  <c r="M19" i="15"/>
  <c r="M18" i="15" s="1"/>
  <c r="BL18" i="15"/>
  <c r="BF18" i="15"/>
  <c r="AZ18" i="15"/>
  <c r="AT18" i="15"/>
  <c r="AN18" i="15"/>
  <c r="AH18" i="15"/>
  <c r="Y18" i="15"/>
  <c r="P18" i="15"/>
  <c r="BS17" i="15"/>
  <c r="BR17" i="15"/>
  <c r="BP17" i="15"/>
  <c r="BO17" i="15"/>
  <c r="BM17" i="15"/>
  <c r="BL17" i="15"/>
  <c r="BJ17" i="15"/>
  <c r="BI17" i="15"/>
  <c r="BG17" i="15"/>
  <c r="BF17" i="15"/>
  <c r="BD17" i="15"/>
  <c r="BC17" i="15"/>
  <c r="BA17" i="15"/>
  <c r="AZ17" i="15"/>
  <c r="AX17" i="15"/>
  <c r="AW17" i="15"/>
  <c r="AU17" i="15"/>
  <c r="AT17" i="15"/>
  <c r="AR17" i="15"/>
  <c r="AQ17" i="15"/>
  <c r="AO17" i="15"/>
  <c r="AN17" i="15"/>
  <c r="AL17" i="15"/>
  <c r="AK17" i="15"/>
  <c r="AI17" i="15"/>
  <c r="AH17" i="15"/>
  <c r="AF17" i="15"/>
  <c r="AE17" i="15"/>
  <c r="AC17" i="15"/>
  <c r="AB17" i="15"/>
  <c r="Z17" i="15"/>
  <c r="Y17" i="15"/>
  <c r="W17" i="15"/>
  <c r="V17" i="15"/>
  <c r="T17" i="15"/>
  <c r="S17" i="15"/>
  <c r="Q17" i="15"/>
  <c r="P17" i="15"/>
  <c r="N17" i="15"/>
  <c r="M17" i="15"/>
  <c r="BS16" i="15"/>
  <c r="BR16" i="15"/>
  <c r="BP16" i="15"/>
  <c r="BO16" i="15"/>
  <c r="BM16" i="15"/>
  <c r="BL16" i="15"/>
  <c r="BJ16" i="15"/>
  <c r="BI16" i="15"/>
  <c r="BG16" i="15"/>
  <c r="BF16" i="15"/>
  <c r="BD16" i="15"/>
  <c r="BC16" i="15"/>
  <c r="BA16" i="15"/>
  <c r="AZ16" i="15"/>
  <c r="AX16" i="15"/>
  <c r="AW16" i="15"/>
  <c r="AU16" i="15"/>
  <c r="AT16" i="15"/>
  <c r="AT14" i="15" s="1"/>
  <c r="AR16" i="15"/>
  <c r="AQ16" i="15"/>
  <c r="AO16" i="15"/>
  <c r="AN16" i="15"/>
  <c r="AL16" i="15"/>
  <c r="AK16" i="15"/>
  <c r="AI16" i="15"/>
  <c r="AH16" i="15"/>
  <c r="AF16" i="15"/>
  <c r="AE16" i="15"/>
  <c r="AC16" i="15"/>
  <c r="AB16" i="15"/>
  <c r="Z16" i="15"/>
  <c r="Y16" i="15"/>
  <c r="W16" i="15"/>
  <c r="V16" i="15"/>
  <c r="T16" i="15"/>
  <c r="S16" i="15"/>
  <c r="Q16" i="15"/>
  <c r="P16" i="15"/>
  <c r="N16" i="15"/>
  <c r="M16" i="15"/>
  <c r="BS15" i="15"/>
  <c r="BR15" i="15"/>
  <c r="BP15" i="15"/>
  <c r="BO15" i="15"/>
  <c r="BM15" i="15"/>
  <c r="BL15" i="15"/>
  <c r="BJ15" i="15"/>
  <c r="BI15" i="15"/>
  <c r="BG15" i="15"/>
  <c r="BF15" i="15"/>
  <c r="BD15" i="15"/>
  <c r="BC15" i="15"/>
  <c r="BC14" i="15" s="1"/>
  <c r="BA15" i="15"/>
  <c r="AZ15" i="15"/>
  <c r="AX15" i="15"/>
  <c r="AW15" i="15"/>
  <c r="AU15" i="15"/>
  <c r="AT15" i="15"/>
  <c r="AR15" i="15"/>
  <c r="AQ15" i="15"/>
  <c r="AQ14" i="15" s="1"/>
  <c r="AQ42" i="15" s="1"/>
  <c r="AO15" i="15"/>
  <c r="AN15" i="15"/>
  <c r="AL15" i="15"/>
  <c r="AK15" i="15"/>
  <c r="AK14" i="15" s="1"/>
  <c r="AI15" i="15"/>
  <c r="AH15" i="15"/>
  <c r="AF15" i="15"/>
  <c r="AE15" i="15"/>
  <c r="AE14" i="15" s="1"/>
  <c r="AC15" i="15"/>
  <c r="AB15" i="15"/>
  <c r="AB14" i="15" s="1"/>
  <c r="Z15" i="15"/>
  <c r="Y15" i="15"/>
  <c r="W15" i="15"/>
  <c r="V15" i="15"/>
  <c r="T15" i="15"/>
  <c r="S15" i="15"/>
  <c r="S14" i="15" s="1"/>
  <c r="Q15" i="15"/>
  <c r="P15" i="15"/>
  <c r="N15" i="15"/>
  <c r="M15" i="15"/>
  <c r="BR14" i="15"/>
  <c r="BL14" i="15"/>
  <c r="BL42" i="15" s="1"/>
  <c r="BI14" i="15"/>
  <c r="AZ14" i="15"/>
  <c r="AZ42" i="15" s="1"/>
  <c r="AW14" i="15"/>
  <c r="AN14" i="15"/>
  <c r="AN42" i="15" s="1"/>
  <c r="AH14" i="15"/>
  <c r="AH42" i="15" s="1"/>
  <c r="Y14" i="15"/>
  <c r="Y42" i="15" s="1"/>
  <c r="V14" i="15"/>
  <c r="P14" i="15"/>
  <c r="P42" i="15" s="1"/>
  <c r="BR42" i="15" l="1"/>
  <c r="BR44" i="15" s="1"/>
  <c r="BO26" i="15"/>
  <c r="BO14" i="15"/>
  <c r="BO42" i="15" s="1"/>
  <c r="BO43" i="15" s="1"/>
  <c r="BI26" i="15"/>
  <c r="BI18" i="15"/>
  <c r="BI42" i="15"/>
  <c r="BI43" i="15" s="1"/>
  <c r="BF37" i="15"/>
  <c r="BF26" i="15"/>
  <c r="BF14" i="15"/>
  <c r="BF42" i="15" s="1"/>
  <c r="BF44" i="15" s="1"/>
  <c r="BC22" i="15"/>
  <c r="BC18" i="15"/>
  <c r="BC42" i="15"/>
  <c r="BC43" i="15" s="1"/>
  <c r="AW26" i="15"/>
  <c r="AW42" i="15"/>
  <c r="AW44" i="15" s="1"/>
  <c r="AT42" i="15"/>
  <c r="AT44" i="15" s="1"/>
  <c r="AK42" i="15"/>
  <c r="AK44" i="15" s="1"/>
  <c r="AE37" i="15"/>
  <c r="AE18" i="15"/>
  <c r="AE42" i="15"/>
  <c r="AE43" i="15" s="1"/>
  <c r="AB26" i="15"/>
  <c r="AB42" i="15"/>
  <c r="AB44" i="15" s="1"/>
  <c r="V26" i="15"/>
  <c r="V18" i="15"/>
  <c r="V42" i="15"/>
  <c r="V43" i="15" s="1"/>
  <c r="S26" i="15"/>
  <c r="S42" i="15"/>
  <c r="S43" i="15" s="1"/>
  <c r="M26" i="15"/>
  <c r="M14" i="15"/>
  <c r="M42" i="15" s="1"/>
  <c r="M43" i="15" s="1"/>
  <c r="AQ44" i="15"/>
  <c r="AQ43" i="15"/>
  <c r="P44" i="15"/>
  <c r="P43" i="15"/>
  <c r="P45" i="15" s="1"/>
  <c r="Q45" i="15" s="1"/>
  <c r="Q52" i="15" s="1"/>
  <c r="AH46" i="15"/>
  <c r="AH44" i="15"/>
  <c r="AH43" i="15"/>
  <c r="AH45" i="15" s="1"/>
  <c r="AI45" i="15" s="1"/>
  <c r="BL44" i="15"/>
  <c r="BL43" i="15"/>
  <c r="Y44" i="15"/>
  <c r="Y43" i="15"/>
  <c r="Y45" i="15" s="1"/>
  <c r="Z45" i="15" s="1"/>
  <c r="Z52" i="15" s="1"/>
  <c r="AN46" i="15"/>
  <c r="AN44" i="15"/>
  <c r="AN43" i="15"/>
  <c r="AN45" i="15" s="1"/>
  <c r="AO45" i="15" s="1"/>
  <c r="AZ46" i="15"/>
  <c r="AZ44" i="15"/>
  <c r="AZ43" i="15"/>
  <c r="AZ45" i="15" s="1"/>
  <c r="BA45" i="15" s="1"/>
  <c r="AI52" i="15"/>
  <c r="AO52" i="15"/>
  <c r="BA52" i="15"/>
  <c r="J16" i="13"/>
  <c r="J17" i="13"/>
  <c r="J18" i="13"/>
  <c r="J19" i="13"/>
  <c r="J20" i="13"/>
  <c r="J21" i="13"/>
  <c r="J22" i="13"/>
  <c r="J23" i="13"/>
  <c r="J24" i="13"/>
  <c r="J25" i="13"/>
  <c r="J26" i="13"/>
  <c r="J27" i="13"/>
  <c r="J28" i="13"/>
  <c r="J29" i="13"/>
  <c r="J30" i="13"/>
  <c r="J31" i="13"/>
  <c r="J32" i="13"/>
  <c r="J33" i="13"/>
  <c r="J34" i="13"/>
  <c r="J35" i="13"/>
  <c r="J15" i="13"/>
  <c r="K41" i="15"/>
  <c r="BR43" i="15" l="1"/>
  <c r="BR45" i="15" s="1"/>
  <c r="BO44" i="15"/>
  <c r="BO45" i="15" s="1"/>
  <c r="BI44" i="15"/>
  <c r="BI45" i="15" s="1"/>
  <c r="BF43" i="15"/>
  <c r="BF45" i="15" s="1"/>
  <c r="BC44" i="15"/>
  <c r="BC45" i="15" s="1"/>
  <c r="BD45" i="15" s="1"/>
  <c r="BD52" i="15" s="1"/>
  <c r="AT43" i="15"/>
  <c r="AT45" i="15" s="1"/>
  <c r="AW43" i="15"/>
  <c r="AW45" i="15" s="1"/>
  <c r="AK43" i="15"/>
  <c r="AK45" i="15" s="1"/>
  <c r="AL45" i="15" s="1"/>
  <c r="AL52" i="15" s="1"/>
  <c r="AE44" i="15"/>
  <c r="AB43" i="15"/>
  <c r="AB45" i="15" s="1"/>
  <c r="V44" i="15"/>
  <c r="V45" i="15" s="1"/>
  <c r="S44" i="15"/>
  <c r="S45" i="15" s="1"/>
  <c r="M44" i="15"/>
  <c r="M45" i="15" s="1"/>
  <c r="AE45" i="15"/>
  <c r="Y46" i="15"/>
  <c r="P46" i="15"/>
  <c r="AZ48" i="15"/>
  <c r="AZ51" i="15" s="1"/>
  <c r="AZ47" i="15"/>
  <c r="AN47" i="15"/>
  <c r="AN48" i="15" s="1"/>
  <c r="AN51" i="15" s="1"/>
  <c r="BL45" i="15"/>
  <c r="AH47" i="15"/>
  <c r="AH48" i="15" s="1"/>
  <c r="AH51" i="15" s="1"/>
  <c r="AQ45" i="15"/>
  <c r="K24" i="15"/>
  <c r="K23" i="15"/>
  <c r="K17" i="15"/>
  <c r="J17" i="15"/>
  <c r="H17" i="15"/>
  <c r="K16" i="15"/>
  <c r="J16" i="15"/>
  <c r="H16" i="15"/>
  <c r="BP45" i="15" l="1"/>
  <c r="BP52" i="15" s="1"/>
  <c r="BO46" i="15"/>
  <c r="BO47" i="15" s="1"/>
  <c r="BO48" i="15" s="1"/>
  <c r="BO51" i="15" s="1"/>
  <c r="BJ45" i="15"/>
  <c r="BJ52" i="15" s="1"/>
  <c r="BI46" i="15"/>
  <c r="BI47" i="15" s="1"/>
  <c r="BI48" i="15" s="1"/>
  <c r="BI51" i="15" s="1"/>
  <c r="BG45" i="15"/>
  <c r="BG52" i="15" s="1"/>
  <c r="BF46" i="15"/>
  <c r="BC46" i="15"/>
  <c r="AU45" i="15"/>
  <c r="AU52" i="15" s="1"/>
  <c r="AT46" i="15"/>
  <c r="AT47" i="15" s="1"/>
  <c r="AT48" i="15" s="1"/>
  <c r="AT51" i="15" s="1"/>
  <c r="AK46" i="15"/>
  <c r="AK47" i="15" s="1"/>
  <c r="AK48" i="15" s="1"/>
  <c r="AK51" i="15" s="1"/>
  <c r="Y48" i="15"/>
  <c r="Y51" i="15" s="1"/>
  <c r="Y47" i="15"/>
  <c r="AF45" i="15"/>
  <c r="AF52" i="15" s="1"/>
  <c r="AE46" i="15"/>
  <c r="N45" i="15"/>
  <c r="N52" i="15" s="1"/>
  <c r="M46" i="15"/>
  <c r="AC45" i="15"/>
  <c r="AC52" i="15" s="1"/>
  <c r="AB46" i="15"/>
  <c r="W45" i="15"/>
  <c r="W52" i="15" s="1"/>
  <c r="V46" i="15"/>
  <c r="T45" i="15"/>
  <c r="T52" i="15" s="1"/>
  <c r="S46" i="15"/>
  <c r="P48" i="15"/>
  <c r="P51" i="15" s="1"/>
  <c r="P47" i="15"/>
  <c r="AR45" i="15"/>
  <c r="AR52" i="15" s="1"/>
  <c r="AQ46" i="15"/>
  <c r="BF47" i="15"/>
  <c r="BF48" i="15" s="1"/>
  <c r="BF51" i="15" s="1"/>
  <c r="BM45" i="15"/>
  <c r="BM52" i="15" s="1"/>
  <c r="BL46" i="15"/>
  <c r="BC47" i="15"/>
  <c r="BC48" i="15" s="1"/>
  <c r="BC51" i="15" s="1"/>
  <c r="AX45" i="15"/>
  <c r="AX52" i="15" s="1"/>
  <c r="AW46" i="15"/>
  <c r="BS45" i="15"/>
  <c r="BS52" i="15" s="1"/>
  <c r="BR46" i="15"/>
  <c r="J41" i="15"/>
  <c r="J39" i="15"/>
  <c r="J38" i="15"/>
  <c r="J36" i="15"/>
  <c r="J35" i="15"/>
  <c r="J34" i="15"/>
  <c r="J33" i="15"/>
  <c r="J32" i="15"/>
  <c r="J31" i="15"/>
  <c r="J30" i="15"/>
  <c r="J29" i="15"/>
  <c r="J28" i="15"/>
  <c r="J27" i="15"/>
  <c r="J25" i="15"/>
  <c r="J24" i="15"/>
  <c r="J23" i="15"/>
  <c r="J21" i="15"/>
  <c r="J20" i="15"/>
  <c r="J19" i="15"/>
  <c r="J15" i="15"/>
  <c r="J14" i="15" s="1"/>
  <c r="AW47" i="15" l="1"/>
  <c r="AW48" i="15" s="1"/>
  <c r="AW51" i="15" s="1"/>
  <c r="BL47" i="15"/>
  <c r="BL48" i="15" s="1"/>
  <c r="BL51" i="15" s="1"/>
  <c r="S47" i="15"/>
  <c r="S48" i="15" s="1"/>
  <c r="S51" i="15" s="1"/>
  <c r="AB47" i="15"/>
  <c r="AB48" i="15" s="1"/>
  <c r="AB51" i="15" s="1"/>
  <c r="AE47" i="15"/>
  <c r="AE48" i="15" s="1"/>
  <c r="AE51" i="15" s="1"/>
  <c r="BR47" i="15"/>
  <c r="BR48" i="15" s="1"/>
  <c r="BR51" i="15" s="1"/>
  <c r="AQ47" i="15"/>
  <c r="AQ48" i="15" s="1"/>
  <c r="AQ51" i="15" s="1"/>
  <c r="V47" i="15"/>
  <c r="V48" i="15" s="1"/>
  <c r="V51" i="15" s="1"/>
  <c r="M47" i="15"/>
  <c r="M48" i="15" s="1"/>
  <c r="M51" i="15" s="1"/>
  <c r="I45" i="15"/>
  <c r="K50" i="15"/>
  <c r="G45" i="15"/>
  <c r="H41" i="15"/>
  <c r="K35" i="15" l="1"/>
  <c r="H35" i="15"/>
  <c r="K34" i="15"/>
  <c r="H34" i="15"/>
  <c r="K33" i="15"/>
  <c r="H33" i="15"/>
  <c r="K32" i="15"/>
  <c r="H32" i="15"/>
  <c r="K31" i="15"/>
  <c r="H31" i="15"/>
  <c r="K30" i="15"/>
  <c r="H30" i="15"/>
  <c r="K29" i="15"/>
  <c r="H29" i="15"/>
  <c r="K28" i="15"/>
  <c r="H28" i="15"/>
  <c r="K20" i="15"/>
  <c r="H20" i="15"/>
  <c r="K39" i="15"/>
  <c r="H39" i="15"/>
  <c r="K38" i="15"/>
  <c r="H38" i="15"/>
  <c r="K36" i="15"/>
  <c r="H36" i="15"/>
  <c r="K27" i="15"/>
  <c r="H27" i="15"/>
  <c r="H37" i="15" l="1"/>
  <c r="H26" i="15"/>
  <c r="J26" i="15"/>
  <c r="J37" i="15"/>
  <c r="H24" i="15"/>
  <c r="K49" i="15" l="1"/>
  <c r="H15" i="15" l="1"/>
  <c r="H14" i="15" s="1"/>
  <c r="H40" i="15" l="1"/>
  <c r="J40" i="15"/>
  <c r="K25" i="15"/>
  <c r="H25" i="15"/>
  <c r="H23" i="15"/>
  <c r="H22" i="15" l="1"/>
  <c r="J22" i="15"/>
  <c r="H19" i="15" l="1"/>
  <c r="H21" i="15"/>
  <c r="AA10" i="15"/>
  <c r="AB52" i="15" s="1"/>
  <c r="BK10" i="15"/>
  <c r="BL52" i="15" s="1"/>
  <c r="AS10" i="15"/>
  <c r="AT52" i="15" s="1"/>
  <c r="AD10" i="15"/>
  <c r="AE52" i="15" s="1"/>
  <c r="AP10" i="15"/>
  <c r="AQ52" i="15" s="1"/>
  <c r="AG10" i="15"/>
  <c r="AH52" i="15" s="1"/>
  <c r="L10" i="15"/>
  <c r="M52" i="15" s="1"/>
  <c r="X10" i="15"/>
  <c r="Y52" i="15" s="1"/>
  <c r="AJ10" i="15"/>
  <c r="AK52" i="15" s="1"/>
  <c r="AV10" i="15"/>
  <c r="AW52" i="15" s="1"/>
  <c r="BH10" i="15"/>
  <c r="BI52" i="15" s="1"/>
  <c r="U10" i="15"/>
  <c r="V52" i="15" s="1"/>
  <c r="BQ10" i="15"/>
  <c r="BR52" i="15" s="1"/>
  <c r="BE10" i="15"/>
  <c r="BF52" i="15" s="1"/>
  <c r="AM10" i="15"/>
  <c r="AN52" i="15" s="1"/>
  <c r="AY10" i="15"/>
  <c r="AZ52" i="15" s="1"/>
  <c r="BN10" i="15"/>
  <c r="BO52" i="15" s="1"/>
  <c r="R10" i="15"/>
  <c r="S52" i="15" s="1"/>
  <c r="BB10" i="15"/>
  <c r="BC52" i="15" s="1"/>
  <c r="O10" i="15"/>
  <c r="P52" i="15" s="1"/>
  <c r="K21" i="15"/>
  <c r="K19" i="15"/>
  <c r="K15" i="15"/>
  <c r="I10" i="15"/>
  <c r="M37" i="10"/>
  <c r="C22" i="10"/>
  <c r="J22" i="10" s="1"/>
  <c r="C23" i="10"/>
  <c r="C24" i="10"/>
  <c r="J24" i="10" s="1"/>
  <c r="C25" i="10"/>
  <c r="J25" i="10" s="1"/>
  <c r="C26" i="10"/>
  <c r="J26" i="10" s="1"/>
  <c r="C27" i="10"/>
  <c r="D27" i="10" s="1"/>
  <c r="C28" i="10"/>
  <c r="J28" i="10" s="1"/>
  <c r="C29" i="10"/>
  <c r="J29" i="10" s="1"/>
  <c r="C30" i="10"/>
  <c r="J30" i="10" s="1"/>
  <c r="C31" i="10"/>
  <c r="D31" i="10" s="1"/>
  <c r="C32" i="10"/>
  <c r="J32" i="10" s="1"/>
  <c r="C33" i="10"/>
  <c r="J33" i="10"/>
  <c r="C34" i="10"/>
  <c r="J34" i="10" s="1"/>
  <c r="C35" i="10"/>
  <c r="J35" i="10" s="1"/>
  <c r="C36" i="10"/>
  <c r="J36" i="10"/>
  <c r="C46" i="107"/>
  <c r="D46" i="107" s="1"/>
  <c r="C47" i="107"/>
  <c r="D47" i="107" s="1"/>
  <c r="C48" i="107"/>
  <c r="D48" i="107" s="1"/>
  <c r="C49" i="107"/>
  <c r="D49" i="107" s="1"/>
  <c r="C50" i="107"/>
  <c r="D50" i="107" s="1"/>
  <c r="C51" i="107"/>
  <c r="D51" i="107" s="1"/>
  <c r="C52" i="107"/>
  <c r="D52" i="107" s="1"/>
  <c r="C53" i="107"/>
  <c r="D53" i="107" s="1"/>
  <c r="C54" i="107"/>
  <c r="D54" i="107" s="1"/>
  <c r="C55" i="107"/>
  <c r="D55" i="107" s="1"/>
  <c r="C56" i="107"/>
  <c r="D56" i="107" s="1"/>
  <c r="C57" i="107"/>
  <c r="D57" i="107" s="1"/>
  <c r="C58" i="107"/>
  <c r="D58" i="107" s="1"/>
  <c r="C59" i="107"/>
  <c r="D59" i="107" s="1"/>
  <c r="C60" i="107"/>
  <c r="D60" i="107" s="1"/>
  <c r="C61" i="107"/>
  <c r="D61" i="107" s="1"/>
  <c r="C62" i="107"/>
  <c r="D62" i="107" s="1"/>
  <c r="C63" i="107"/>
  <c r="D63" i="107" s="1"/>
  <c r="C64" i="107"/>
  <c r="D64" i="107" s="1"/>
  <c r="C45" i="107"/>
  <c r="D45" i="107" s="1"/>
  <c r="BQ12" i="15"/>
  <c r="BQ11" i="15"/>
  <c r="BQ53" i="15" s="1"/>
  <c r="BN12" i="15"/>
  <c r="BN11" i="15"/>
  <c r="BN53" i="15" s="1"/>
  <c r="BK12" i="15"/>
  <c r="BK11" i="15"/>
  <c r="BK53" i="15" s="1"/>
  <c r="BH12" i="15"/>
  <c r="BH11" i="15"/>
  <c r="BH53" i="15" s="1"/>
  <c r="BE12" i="15"/>
  <c r="BE11" i="15"/>
  <c r="BE53" i="15" s="1"/>
  <c r="BB12" i="15"/>
  <c r="BB11" i="15"/>
  <c r="BB53" i="15" s="1"/>
  <c r="AY12" i="15"/>
  <c r="AY11" i="15"/>
  <c r="AY53" i="15" s="1"/>
  <c r="AV12" i="15"/>
  <c r="AV11" i="15"/>
  <c r="AV53" i="15" s="1"/>
  <c r="AS12" i="15"/>
  <c r="AS11" i="15"/>
  <c r="AS53" i="15" s="1"/>
  <c r="AP12" i="15"/>
  <c r="AP11" i="15"/>
  <c r="AP53" i="15" s="1"/>
  <c r="I12" i="15"/>
  <c r="I11" i="15"/>
  <c r="I53" i="15" s="1"/>
  <c r="AM11" i="15"/>
  <c r="AM53" i="15" s="1"/>
  <c r="AM12" i="15"/>
  <c r="AJ12" i="15"/>
  <c r="AJ11" i="15"/>
  <c r="AJ53" i="15" s="1"/>
  <c r="AG12" i="15"/>
  <c r="AG11" i="15"/>
  <c r="AG53" i="15" s="1"/>
  <c r="AD12" i="15"/>
  <c r="AD11" i="15"/>
  <c r="AD53" i="15" s="1"/>
  <c r="AA12" i="15"/>
  <c r="AA11" i="15"/>
  <c r="AA53" i="15" s="1"/>
  <c r="X12" i="15"/>
  <c r="X11" i="15"/>
  <c r="X53" i="15" s="1"/>
  <c r="U12" i="15"/>
  <c r="U11" i="15"/>
  <c r="U53" i="15" s="1"/>
  <c r="R12" i="15"/>
  <c r="R11" i="15"/>
  <c r="R53" i="15" s="1"/>
  <c r="O12" i="15"/>
  <c r="O11" i="15"/>
  <c r="O53" i="15" s="1"/>
  <c r="L12" i="15"/>
  <c r="L11" i="15"/>
  <c r="L53" i="15" s="1"/>
  <c r="C17" i="10"/>
  <c r="J17" i="10" s="1"/>
  <c r="C18" i="10"/>
  <c r="J18" i="10" s="1"/>
  <c r="C19" i="10"/>
  <c r="J19" i="10" s="1"/>
  <c r="C20" i="10"/>
  <c r="I20" i="10" s="1"/>
  <c r="C21" i="10"/>
  <c r="J21" i="10" s="1"/>
  <c r="K14" i="10"/>
  <c r="B8" i="10"/>
  <c r="P8" i="10" s="1"/>
  <c r="H14" i="107"/>
  <c r="C44" i="107"/>
  <c r="D44" i="107" s="1"/>
  <c r="AH42" i="107"/>
  <c r="AG42" i="107"/>
  <c r="AF42" i="107"/>
  <c r="AE42" i="107"/>
  <c r="B7" i="107"/>
  <c r="B5" i="107"/>
  <c r="B3" i="107"/>
  <c r="B1" i="107"/>
  <c r="C16" i="10"/>
  <c r="J16" i="10" s="1"/>
  <c r="E37" i="13"/>
  <c r="E38" i="13"/>
  <c r="E39" i="13"/>
  <c r="B5" i="10"/>
  <c r="P5" i="10" s="1"/>
  <c r="B5" i="15"/>
  <c r="B7" i="10"/>
  <c r="P7" i="10" s="1"/>
  <c r="P4" i="10"/>
  <c r="B3" i="10"/>
  <c r="P3" i="10" s="1"/>
  <c r="P2" i="10"/>
  <c r="B1" i="10"/>
  <c r="P1" i="10" s="1"/>
  <c r="B3" i="15"/>
  <c r="B7" i="15"/>
  <c r="B1" i="15"/>
  <c r="P17" i="10"/>
  <c r="P18" i="10" s="1"/>
  <c r="P19" i="10" s="1"/>
  <c r="P20" i="10" s="1"/>
  <c r="P21" i="10" s="1"/>
  <c r="P22" i="10" s="1"/>
  <c r="P23" i="10" s="1"/>
  <c r="P24" i="10" s="1"/>
  <c r="P25" i="10" s="1"/>
  <c r="P26" i="10" s="1"/>
  <c r="P27" i="10" s="1"/>
  <c r="P28" i="10" s="1"/>
  <c r="P29" i="10" s="1"/>
  <c r="P30" i="10" s="1"/>
  <c r="P31" i="10" s="1"/>
  <c r="P32" i="10" s="1"/>
  <c r="P33" i="10" s="1"/>
  <c r="P34" i="10" s="1"/>
  <c r="P35" i="10" s="1"/>
  <c r="P36" i="10" s="1"/>
  <c r="H31" i="10"/>
  <c r="D23" i="10"/>
  <c r="I23" i="10"/>
  <c r="I19" i="10"/>
  <c r="H19" i="10"/>
  <c r="H34" i="10"/>
  <c r="M36" i="10"/>
  <c r="I36" i="10"/>
  <c r="H36" i="10"/>
  <c r="H24" i="10"/>
  <c r="D33" i="10"/>
  <c r="I33" i="10"/>
  <c r="H33" i="10"/>
  <c r="I29" i="10"/>
  <c r="I25" i="10"/>
  <c r="M32" i="10"/>
  <c r="D36" i="10"/>
  <c r="E40" i="13"/>
  <c r="M23" i="10"/>
  <c r="D29" i="10"/>
  <c r="M31" i="10"/>
  <c r="D19" i="10"/>
  <c r="M19" i="10"/>
  <c r="M27" i="10"/>
  <c r="M33" i="10"/>
  <c r="D25" i="10"/>
  <c r="M22" i="10" l="1"/>
  <c r="I22" i="10"/>
  <c r="D26" i="10"/>
  <c r="H30" i="10"/>
  <c r="D22" i="10"/>
  <c r="M30" i="10"/>
  <c r="H26" i="10"/>
  <c r="H22" i="10"/>
  <c r="M26" i="10"/>
  <c r="D30" i="10"/>
  <c r="E15" i="107"/>
  <c r="E38" i="107" s="1"/>
  <c r="D20" i="10"/>
  <c r="M28" i="10"/>
  <c r="H35" i="10"/>
  <c r="I32" i="10"/>
  <c r="D18" i="10"/>
  <c r="D28" i="10"/>
  <c r="I18" i="10"/>
  <c r="D24" i="10"/>
  <c r="I21" i="10"/>
  <c r="I26" i="10"/>
  <c r="I30" i="10"/>
  <c r="M25" i="10"/>
  <c r="M24" i="10"/>
  <c r="D35" i="10"/>
  <c r="D21" i="10"/>
  <c r="D32" i="10"/>
  <c r="M16" i="10"/>
  <c r="H25" i="10"/>
  <c r="H29" i="10"/>
  <c r="M29" i="10"/>
  <c r="H18" i="10"/>
  <c r="M18" i="10"/>
  <c r="I24" i="10"/>
  <c r="H21" i="10"/>
  <c r="M21" i="10"/>
  <c r="I31" i="10"/>
  <c r="I35" i="10"/>
  <c r="M35" i="10"/>
  <c r="H16" i="10"/>
  <c r="H32" i="10"/>
  <c r="J31" i="10"/>
  <c r="J20" i="10"/>
  <c r="H20" i="10"/>
  <c r="I34" i="10"/>
  <c r="H17" i="10"/>
  <c r="D17" i="10"/>
  <c r="D16" i="10"/>
  <c r="D34" i="10"/>
  <c r="H28" i="10"/>
  <c r="I17" i="10"/>
  <c r="M34" i="10"/>
  <c r="J23" i="10"/>
  <c r="H23" i="10"/>
  <c r="M17" i="10"/>
  <c r="J27" i="10"/>
  <c r="H27" i="10"/>
  <c r="M20" i="10"/>
  <c r="I28" i="10"/>
  <c r="I27" i="10"/>
  <c r="I16" i="10"/>
  <c r="J18" i="15"/>
  <c r="H18" i="15"/>
  <c r="H42" i="15" s="1"/>
  <c r="H43" i="15" l="1"/>
  <c r="H44" i="15"/>
  <c r="J42" i="15"/>
  <c r="J43" i="15" l="1"/>
  <c r="J44" i="15"/>
  <c r="H45" i="15"/>
  <c r="H46" i="15" s="1"/>
  <c r="J45" i="15" l="1"/>
  <c r="J46" i="15" s="1"/>
  <c r="J47" i="15" s="1"/>
  <c r="H47" i="15"/>
  <c r="J48" i="15" l="1"/>
  <c r="J51" i="15" s="1"/>
  <c r="K45" i="15"/>
  <c r="K52" i="15" s="1"/>
  <c r="H48" i="15"/>
  <c r="H51" i="15" s="1"/>
  <c r="H52" i="15" s="1"/>
  <c r="E50" i="107" l="1"/>
  <c r="F50" i="107" s="1"/>
  <c r="E45" i="107"/>
  <c r="E17" i="10" s="1"/>
  <c r="J52" i="15"/>
  <c r="H24" i="107"/>
  <c r="E22" i="10" l="1"/>
  <c r="G50" i="107"/>
  <c r="G45" i="107"/>
  <c r="F17" i="10" s="1"/>
  <c r="I45" i="107"/>
  <c r="F45" i="107"/>
  <c r="E52" i="107"/>
  <c r="E24" i="10" s="1"/>
  <c r="E46" i="107"/>
  <c r="O45" i="107" s="1"/>
  <c r="E48" i="107"/>
  <c r="E20" i="10" s="1"/>
  <c r="I50" i="107"/>
  <c r="E47" i="107"/>
  <c r="E19" i="10" s="1"/>
  <c r="E49" i="107"/>
  <c r="E21" i="10" s="1"/>
  <c r="E51" i="107"/>
  <c r="O50" i="107" s="1"/>
  <c r="E44" i="107"/>
  <c r="E16" i="10" s="1"/>
  <c r="F22" i="10"/>
  <c r="E53" i="107"/>
  <c r="E25" i="10" s="1"/>
  <c r="E18" i="10" l="1"/>
  <c r="E23" i="10"/>
  <c r="F44" i="107"/>
  <c r="G44" i="107"/>
  <c r="F16" i="10" s="1"/>
  <c r="F51" i="107"/>
  <c r="I51" i="107"/>
  <c r="G51" i="107"/>
  <c r="F23" i="10" s="1"/>
  <c r="O51" i="107"/>
  <c r="F47" i="107"/>
  <c r="O47" i="107"/>
  <c r="G47" i="107"/>
  <c r="I47" i="107"/>
  <c r="I44" i="107"/>
  <c r="O48" i="107"/>
  <c r="F48" i="107"/>
  <c r="I48" i="107"/>
  <c r="G48" i="107"/>
  <c r="F52" i="107"/>
  <c r="I52" i="107"/>
  <c r="G52" i="107"/>
  <c r="F24" i="10" s="1"/>
  <c r="I49" i="107"/>
  <c r="F49" i="107"/>
  <c r="G49" i="107"/>
  <c r="O49" i="107"/>
  <c r="O44" i="107"/>
  <c r="G46" i="107"/>
  <c r="F46" i="107"/>
  <c r="O46" i="107"/>
  <c r="I46" i="107"/>
  <c r="O52" i="107"/>
  <c r="I53" i="107"/>
  <c r="F53" i="107"/>
  <c r="G53" i="107"/>
  <c r="F25" i="10" s="1"/>
  <c r="E54" i="107"/>
  <c r="E26" i="10" s="1"/>
  <c r="F20" i="10" l="1"/>
  <c r="F19" i="10"/>
  <c r="F21" i="10"/>
  <c r="F18" i="10"/>
  <c r="O53" i="107"/>
  <c r="E55" i="107"/>
  <c r="E27" i="10" s="1"/>
  <c r="G54" i="107"/>
  <c r="F26" i="10" s="1"/>
  <c r="F54" i="107"/>
  <c r="I54" i="107"/>
  <c r="I55" i="107" l="1"/>
  <c r="G55" i="107"/>
  <c r="F27" i="10" s="1"/>
  <c r="F55" i="107"/>
  <c r="E56" i="107"/>
  <c r="E28" i="10" s="1"/>
  <c r="O54" i="107"/>
  <c r="E57" i="107" l="1"/>
  <c r="O56" i="107" s="1"/>
  <c r="I56" i="107"/>
  <c r="F56" i="107"/>
  <c r="G56" i="107"/>
  <c r="F28" i="10" s="1"/>
  <c r="O55" i="107"/>
  <c r="E29" i="10" l="1"/>
  <c r="F57" i="107"/>
  <c r="G57" i="107"/>
  <c r="F29" i="10" s="1"/>
  <c r="I57" i="107"/>
  <c r="E58" i="107"/>
  <c r="E30" i="10" s="1"/>
  <c r="I58" i="107" l="1"/>
  <c r="F58" i="107"/>
  <c r="G58" i="107"/>
  <c r="F30" i="10" s="1"/>
  <c r="O57" i="107"/>
  <c r="E59" i="107"/>
  <c r="E31" i="10" s="1"/>
  <c r="I59" i="107" l="1"/>
  <c r="F59" i="107"/>
  <c r="G59" i="107"/>
  <c r="F31" i="10" s="1"/>
  <c r="O58" i="107"/>
  <c r="E60" i="107"/>
  <c r="E32" i="10" s="1"/>
  <c r="G60" i="107" l="1"/>
  <c r="F32" i="10" s="1"/>
  <c r="F60" i="107"/>
  <c r="I60" i="107"/>
  <c r="O59" i="107"/>
  <c r="E61" i="107"/>
  <c r="E33" i="10" s="1"/>
  <c r="E62" i="107" l="1"/>
  <c r="E34" i="10" s="1"/>
  <c r="G61" i="107"/>
  <c r="F33" i="10" s="1"/>
  <c r="F61" i="107"/>
  <c r="O60" i="107"/>
  <c r="F62" i="107" l="1"/>
  <c r="G62" i="107"/>
  <c r="F34" i="10" s="1"/>
  <c r="E63" i="107"/>
  <c r="O62" i="107" s="1"/>
  <c r="O61" i="107"/>
  <c r="E35" i="10" l="1"/>
  <c r="E64" i="107"/>
  <c r="O63" i="107" s="1"/>
  <c r="F63" i="107"/>
  <c r="G63" i="107"/>
  <c r="E36" i="10" l="1"/>
  <c r="F35" i="10"/>
  <c r="O64" i="107"/>
  <c r="F64" i="107"/>
  <c r="G64" i="107"/>
  <c r="F36" i="10" s="1"/>
  <c r="N50" i="107" l="1"/>
  <c r="N46" i="107"/>
  <c r="N53" i="107"/>
  <c r="N47" i="107"/>
  <c r="N48" i="107"/>
  <c r="N55" i="107"/>
  <c r="N44" i="107"/>
  <c r="N45" i="107"/>
  <c r="N57" i="107"/>
  <c r="H18" i="107"/>
  <c r="N51" i="107"/>
  <c r="N54" i="107"/>
  <c r="N52" i="107"/>
  <c r="N49" i="107"/>
  <c r="N58" i="107"/>
  <c r="N56" i="107"/>
  <c r="N59" i="107"/>
  <c r="N61" i="107"/>
  <c r="N60" i="107"/>
  <c r="N62" i="107"/>
  <c r="N63" i="107"/>
  <c r="N64" i="107"/>
  <c r="H32" i="107" l="1"/>
  <c r="H34" i="107" s="1"/>
  <c r="H23" i="107"/>
  <c r="H33" i="107"/>
  <c r="H21" i="107"/>
  <c r="H28" i="107" s="1"/>
  <c r="H19" i="107"/>
  <c r="H22" i="107"/>
  <c r="H20" i="107"/>
  <c r="H30" i="107" l="1"/>
  <c r="H38" i="107" s="1"/>
  <c r="J48" i="107"/>
  <c r="J47" i="107"/>
  <c r="J51" i="107"/>
  <c r="J44" i="107"/>
  <c r="J50" i="107"/>
  <c r="J53" i="107"/>
  <c r="J49" i="107"/>
  <c r="J54" i="107"/>
  <c r="J46" i="107"/>
  <c r="J52" i="107"/>
  <c r="J45" i="107"/>
  <c r="J55" i="107"/>
  <c r="J56" i="107"/>
  <c r="J57" i="107"/>
  <c r="J58" i="107"/>
  <c r="J59" i="107"/>
  <c r="J60" i="107"/>
  <c r="M44" i="107"/>
  <c r="M51" i="107"/>
  <c r="M47" i="107"/>
  <c r="M45" i="107"/>
  <c r="M53" i="107"/>
  <c r="M50" i="107"/>
  <c r="M54" i="107"/>
  <c r="M52" i="107"/>
  <c r="M48" i="107"/>
  <c r="M49" i="107"/>
  <c r="M46" i="107"/>
  <c r="M55" i="107"/>
  <c r="M56" i="107"/>
  <c r="M57" i="107"/>
  <c r="M58" i="107"/>
  <c r="M59" i="107"/>
  <c r="M60" i="107"/>
  <c r="H35" i="107"/>
  <c r="H70" i="107" l="1"/>
  <c r="K44" i="107"/>
  <c r="K53" i="107"/>
  <c r="K48" i="107"/>
  <c r="K59" i="107"/>
  <c r="K51" i="107"/>
  <c r="K54" i="107"/>
  <c r="K45" i="107"/>
  <c r="K57" i="107"/>
  <c r="K49" i="107"/>
  <c r="K58" i="107"/>
  <c r="K52" i="107"/>
  <c r="K55" i="107"/>
  <c r="K46" i="107"/>
  <c r="K60" i="107"/>
  <c r="K56" i="107"/>
  <c r="K50" i="107"/>
  <c r="K47" i="107"/>
  <c r="L51" i="107"/>
  <c r="L52" i="107"/>
  <c r="L45" i="107"/>
  <c r="L49" i="107"/>
  <c r="L44" i="107"/>
  <c r="L48" i="107"/>
  <c r="L50" i="107"/>
  <c r="L53" i="107"/>
  <c r="L47" i="107"/>
  <c r="L54" i="107"/>
  <c r="L46" i="107"/>
  <c r="L55" i="107"/>
  <c r="L56" i="107"/>
  <c r="L57" i="107"/>
  <c r="L58" i="107"/>
  <c r="L59" i="107"/>
  <c r="L60" i="107"/>
  <c r="H69" i="107" l="1"/>
  <c r="H63" i="107"/>
  <c r="G35" i="10" s="1"/>
  <c r="K35" i="10" s="1"/>
  <c r="H59" i="107"/>
  <c r="G31" i="10" s="1"/>
  <c r="K31" i="10" s="1"/>
  <c r="H55" i="107"/>
  <c r="G27" i="10" s="1"/>
  <c r="K27" i="10" s="1"/>
  <c r="H51" i="107"/>
  <c r="G23" i="10" s="1"/>
  <c r="K23" i="10" s="1"/>
  <c r="H47" i="107"/>
  <c r="G19" i="10" s="1"/>
  <c r="K19" i="10" s="1"/>
  <c r="H53" i="107"/>
  <c r="G25" i="10" s="1"/>
  <c r="K25" i="10" s="1"/>
  <c r="H45" i="107"/>
  <c r="G17" i="10" s="1"/>
  <c r="K17" i="10" s="1"/>
  <c r="H62" i="107"/>
  <c r="G34" i="10" s="1"/>
  <c r="K34" i="10" s="1"/>
  <c r="H58" i="107"/>
  <c r="G30" i="10" s="1"/>
  <c r="K30" i="10" s="1"/>
  <c r="H54" i="107"/>
  <c r="G26" i="10" s="1"/>
  <c r="K26" i="10" s="1"/>
  <c r="H50" i="107"/>
  <c r="G22" i="10" s="1"/>
  <c r="K22" i="10" s="1"/>
  <c r="H46" i="107"/>
  <c r="G18" i="10" s="1"/>
  <c r="K18" i="10" s="1"/>
  <c r="H61" i="107"/>
  <c r="G33" i="10" s="1"/>
  <c r="K33" i="10" s="1"/>
  <c r="H49" i="107"/>
  <c r="G21" i="10" s="1"/>
  <c r="K21" i="10" s="1"/>
  <c r="H57" i="107"/>
  <c r="G29" i="10" s="1"/>
  <c r="K29" i="10" s="1"/>
  <c r="H56" i="107"/>
  <c r="G28" i="10" s="1"/>
  <c r="K28" i="10" s="1"/>
  <c r="H52" i="107"/>
  <c r="H60" i="107"/>
  <c r="G32" i="10" s="1"/>
  <c r="K32" i="10" s="1"/>
  <c r="H64" i="107"/>
  <c r="G36" i="10" s="1"/>
  <c r="K36" i="10" s="1"/>
  <c r="H48" i="107"/>
  <c r="G20" i="10" s="1"/>
  <c r="K20" i="10" s="1"/>
  <c r="H44" i="107"/>
  <c r="G16" i="10" s="1"/>
  <c r="K16" i="10" s="1"/>
  <c r="H68" i="107" l="1"/>
  <c r="G24" i="10"/>
  <c r="K24" i="10" s="1"/>
  <c r="H76" i="107"/>
  <c r="H73" i="107" s="1"/>
  <c r="O33" i="10" l="1"/>
  <c r="H71" i="107"/>
  <c r="O27" i="10"/>
  <c r="O20" i="10"/>
  <c r="H72" i="107"/>
  <c r="O16" i="10"/>
  <c r="O19" i="10"/>
  <c r="O36" i="10"/>
  <c r="O31" i="10"/>
  <c r="O26" i="10"/>
  <c r="O25" i="10"/>
  <c r="O29" i="10"/>
  <c r="O18" i="10"/>
  <c r="O35" i="10"/>
  <c r="O23" i="10"/>
  <c r="O24" i="10"/>
  <c r="O32" i="10"/>
  <c r="O22" i="10"/>
  <c r="O28" i="10"/>
  <c r="O30" i="10"/>
  <c r="O17" i="10"/>
  <c r="O34" i="10"/>
  <c r="O21" i="10"/>
  <c r="Q16" i="10" l="1"/>
  <c r="P13" i="10" s="1"/>
  <c r="P39" i="10" s="1"/>
  <c r="Q17" i="10"/>
  <c r="S17" i="10" s="1"/>
  <c r="Q18" i="10"/>
  <c r="R18" i="10" s="1"/>
  <c r="Q24" i="10"/>
  <c r="R24" i="10" s="1"/>
  <c r="Q26" i="10"/>
  <c r="R26" i="10" s="1"/>
  <c r="Q19" i="10"/>
  <c r="S19" i="10" s="1"/>
  <c r="Q34" i="10"/>
  <c r="S34" i="10" s="1"/>
  <c r="Q30" i="10"/>
  <c r="R30" i="10" s="1"/>
  <c r="Q32" i="10"/>
  <c r="R32" i="10" s="1"/>
  <c r="Q29" i="10"/>
  <c r="R29" i="10" s="1"/>
  <c r="Q25" i="10"/>
  <c r="R25" i="10" s="1"/>
  <c r="Q33" i="10"/>
  <c r="S33" i="10" s="1"/>
  <c r="Q20" i="10"/>
  <c r="R20" i="10" s="1"/>
  <c r="Q35" i="10"/>
  <c r="S35" i="10" s="1"/>
  <c r="Q31" i="10"/>
  <c r="S31" i="10" s="1"/>
  <c r="Q36" i="10"/>
  <c r="S36" i="10" s="1"/>
  <c r="Q27" i="10"/>
  <c r="S27" i="10" s="1"/>
  <c r="Q22" i="10"/>
  <c r="R22" i="10" s="1"/>
  <c r="Q28" i="10"/>
  <c r="R28" i="10" s="1"/>
  <c r="Q21" i="10"/>
  <c r="R21" i="10" s="1"/>
  <c r="Q23" i="10"/>
  <c r="S23" i="10" s="1"/>
  <c r="S25" i="10" l="1"/>
  <c r="S32" i="10"/>
  <c r="R16" i="10"/>
  <c r="S20" i="10"/>
  <c r="R17" i="10"/>
  <c r="S16" i="10"/>
  <c r="R19" i="10"/>
  <c r="R35" i="10"/>
  <c r="R34" i="10"/>
  <c r="R31" i="10"/>
  <c r="S18" i="10"/>
  <c r="S29" i="10"/>
  <c r="S22" i="10"/>
  <c r="S21" i="10"/>
  <c r="S24" i="10"/>
  <c r="R23" i="10"/>
  <c r="R33" i="10"/>
  <c r="R27" i="10"/>
  <c r="S30" i="10"/>
  <c r="S26" i="10"/>
  <c r="R36" i="10"/>
  <c r="S28" i="10"/>
</calcChain>
</file>

<file path=xl/sharedStrings.xml><?xml version="1.0" encoding="utf-8"?>
<sst xmlns="http://schemas.openxmlformats.org/spreadsheetml/2006/main" count="492" uniqueCount="219">
  <si>
    <t>PRESUPUESTO OFICIAL</t>
  </si>
  <si>
    <t>UNIDAD</t>
  </si>
  <si>
    <t>VR PARCIAL</t>
  </si>
  <si>
    <t>PU vs PO</t>
  </si>
  <si>
    <t xml:space="preserve"> </t>
  </si>
  <si>
    <t>PUNTAJE</t>
  </si>
  <si>
    <t>PROPONENTE</t>
  </si>
  <si>
    <t>CANTIDAD</t>
  </si>
  <si>
    <t>NO ADMISIBLE</t>
  </si>
  <si>
    <t>ADMISIBLE</t>
  </si>
  <si>
    <t>JERARQUIA</t>
  </si>
  <si>
    <t>No.</t>
  </si>
  <si>
    <t>PROP. No.</t>
  </si>
  <si>
    <t>RECHAZO</t>
  </si>
  <si>
    <t>(%)</t>
  </si>
  <si>
    <t>&lt;0</t>
  </si>
  <si>
    <t>RESULTADO FINAL DEL PROCESO DE EVALUACIÓN</t>
  </si>
  <si>
    <t>CALIFICACIÓN OBTENIDA</t>
  </si>
  <si>
    <t>PUNTAJES OTORGADOS A LOS SIGUIENTES CRITERIOS:</t>
  </si>
  <si>
    <t>TOTALES</t>
  </si>
  <si>
    <t>DEPENDENCIAS</t>
  </si>
  <si>
    <t>ID</t>
  </si>
  <si>
    <t>CUADRO No. 1</t>
  </si>
  <si>
    <t>CUADRO No. 3</t>
  </si>
  <si>
    <t>DETERMINACIÓN DEL PUNTAJE POR VALOR DE LA PROPUESTA</t>
  </si>
  <si>
    <t>PROPUESTA ECONÓMICA</t>
  </si>
  <si>
    <t>($)</t>
  </si>
  <si>
    <t>PORCENTAJE DE MEJORA</t>
  </si>
  <si>
    <t>RESULTADO</t>
  </si>
  <si>
    <t>CUADRO No. 4</t>
  </si>
  <si>
    <t>PROPUESTA NUMERO</t>
  </si>
  <si>
    <t>RESÚMEN DE LA PONDERACIÓN OTORGADA</t>
  </si>
  <si>
    <t>Precio</t>
  </si>
  <si>
    <t>PUNTAJE DEFINITIVO</t>
  </si>
  <si>
    <t>CIFRA DE AJUSTE</t>
  </si>
  <si>
    <t>CUADRO No. 5</t>
  </si>
  <si>
    <t>ORDEN DE ELEGIBILIDAD</t>
  </si>
  <si>
    <t>CONSECUTIVO</t>
  </si>
  <si>
    <t>NOTAS ACLARATORIAS PARA RECHAZO DE LA PROPUESTA ECONÓMICA</t>
  </si>
  <si>
    <t>TOTAL</t>
  </si>
  <si>
    <t>VR PARCIAL
(1)</t>
  </si>
  <si>
    <t>Determinación del Método para la Ponderación de la Propuesta Económica</t>
  </si>
  <si>
    <t xml:space="preserve">Valor = </t>
  </si>
  <si>
    <t>CENTESIMAS =</t>
  </si>
  <si>
    <t>Parámetros para la ponderación de la propuesta económica</t>
  </si>
  <si>
    <t>Número de propuestas válidas</t>
  </si>
  <si>
    <t>Puntaje propuesta Económica</t>
  </si>
  <si>
    <t>Media artimética (X)</t>
  </si>
  <si>
    <r>
      <t>Media artimética alta (X</t>
    </r>
    <r>
      <rPr>
        <b/>
        <sz val="6"/>
        <rFont val="Arial"/>
        <family val="2"/>
      </rPr>
      <t>A</t>
    </r>
    <r>
      <rPr>
        <b/>
        <sz val="8"/>
        <rFont val="Arial"/>
        <family val="2"/>
      </rPr>
      <t>)</t>
    </r>
  </si>
  <si>
    <t>Mínimo</t>
  </si>
  <si>
    <t>Máximo</t>
  </si>
  <si>
    <t>CON RESPECTO A M1</t>
  </si>
  <si>
    <t>CON RESPECTO A M2</t>
  </si>
  <si>
    <t>CON RESPECTO A M3</t>
  </si>
  <si>
    <t>CON RESPECTO A M4</t>
  </si>
  <si>
    <t>CON RESPECTO A PO</t>
  </si>
  <si>
    <t>Media Aritmética =X</t>
  </si>
  <si>
    <t>Mediana= Me</t>
  </si>
  <si>
    <t>Desviación estándar =S</t>
  </si>
  <si>
    <t>Presupuesto Oficial</t>
  </si>
  <si>
    <t>1. Media Aritmética</t>
  </si>
  <si>
    <t>2. Media Aritmética Alta</t>
  </si>
  <si>
    <t>Estadistico usado para ponderar :</t>
  </si>
  <si>
    <t>(Puntos)</t>
  </si>
  <si>
    <t>PONDERACIÓN</t>
  </si>
  <si>
    <t>Estado de la Ponderación</t>
  </si>
  <si>
    <t>Indicador</t>
  </si>
  <si>
    <t>Cantidad</t>
  </si>
  <si>
    <t>Número total de propuestas descartadas</t>
  </si>
  <si>
    <t>Número de propuestas superiores al estadistico de ponderación</t>
  </si>
  <si>
    <t>Número de propuestas inferiores o iguales al estadistico de ponderación</t>
  </si>
  <si>
    <t>Descuento de la propuesta con mayor ponderación</t>
  </si>
  <si>
    <t>Propuesta con mayor ponderación</t>
  </si>
  <si>
    <t>Número propuesta con mayor ponderación</t>
  </si>
  <si>
    <t>Apoyo a la industria nacional</t>
  </si>
  <si>
    <t>MÉTODO DE PONDERACIÓN =</t>
  </si>
  <si>
    <r>
      <t>Producto (1x10</t>
    </r>
    <r>
      <rPr>
        <b/>
        <vertAlign val="superscript"/>
        <sz val="9"/>
        <rFont val="Arial"/>
        <family val="2"/>
      </rPr>
      <t>9</t>
    </r>
    <r>
      <rPr>
        <b/>
        <sz val="10"/>
        <rFont val="Arial"/>
        <family val="2"/>
      </rPr>
      <t>)</t>
    </r>
  </si>
  <si>
    <r>
      <t>Po</t>
    </r>
    <r>
      <rPr>
        <b/>
        <vertAlign val="superscript"/>
        <sz val="9"/>
        <rFont val="Arial"/>
        <family val="2"/>
      </rPr>
      <t>nv</t>
    </r>
    <r>
      <rPr>
        <b/>
        <sz val="9"/>
        <rFont val="Arial"/>
        <family val="2"/>
      </rPr>
      <t>(1x10</t>
    </r>
    <r>
      <rPr>
        <b/>
        <vertAlign val="superscript"/>
        <sz val="9"/>
        <rFont val="Arial"/>
        <family val="2"/>
      </rPr>
      <t>9</t>
    </r>
    <r>
      <rPr>
        <b/>
        <sz val="9"/>
        <rFont val="Arial"/>
        <family val="2"/>
      </rPr>
      <t>)</t>
    </r>
  </si>
  <si>
    <t>Número de veces que se debe incluir el PO = nv</t>
  </si>
  <si>
    <r>
      <t>($1x10</t>
    </r>
    <r>
      <rPr>
        <b/>
        <vertAlign val="superscript"/>
        <sz val="11"/>
        <rFont val="Arial"/>
        <family val="2"/>
      </rPr>
      <t>9</t>
    </r>
    <r>
      <rPr>
        <b/>
        <sz val="11"/>
        <rFont val="Arial"/>
        <family val="2"/>
      </rPr>
      <t>)</t>
    </r>
  </si>
  <si>
    <t>PROPONENTE NÚMERO</t>
  </si>
  <si>
    <t>NOMBRE PROPONENTE</t>
  </si>
  <si>
    <t>Número Propuesta</t>
  </si>
  <si>
    <t>Orden</t>
  </si>
  <si>
    <t>NOTAS ACLARATORIAS DE LA PROPUESTA ECONÓMICA</t>
  </si>
  <si>
    <t>CUADRO No. 2 - VERIFICACIÓN DE LAS PROPUESTAS ECONÓNICAS</t>
  </si>
  <si>
    <t>Último Método Utilizado</t>
  </si>
  <si>
    <t>MÉTODOS DE EVALUACIÓN</t>
  </si>
  <si>
    <t>MEDIA ARITMÉTICA</t>
  </si>
  <si>
    <t>MEDIA ARITMÉTICA ALTA</t>
  </si>
  <si>
    <t>NO APLICA</t>
  </si>
  <si>
    <t>TRM DEL DÍA DE LA INSTALACIÓN DE LA AUDIENCIA DE ASIGNACIÓN DE PUNTAJE</t>
  </si>
  <si>
    <t>NO MODIFICAR</t>
  </si>
  <si>
    <t>UTILIDAD</t>
  </si>
  <si>
    <t>900.2</t>
  </si>
  <si>
    <t>630.4</t>
  </si>
  <si>
    <t>DESCRIPCIÓN</t>
  </si>
  <si>
    <t>210.2.2</t>
  </si>
  <si>
    <t>640.1</t>
  </si>
  <si>
    <t>710.1</t>
  </si>
  <si>
    <t>FIDUPREVISORA</t>
  </si>
  <si>
    <t>PATRIMONIO AUTÓNOMO FIDEICOMISO ECOPETROL ZOMAC (en adelante PATRIMONIO AUTÓNOMO) FIDUCIARIA LA PREVISORA S.A.</t>
  </si>
  <si>
    <t>LICITACIÓN PRIVADA ABIERTA N° 007 DE 2018</t>
  </si>
  <si>
    <t>ÍTEM DE PAGO</t>
  </si>
  <si>
    <t>VALOR UNITARIO</t>
  </si>
  <si>
    <t>310.1</t>
  </si>
  <si>
    <t>600.2.3P</t>
  </si>
  <si>
    <t>610.2</t>
  </si>
  <si>
    <t>661.1</t>
  </si>
  <si>
    <t>I. PRELIMINARES</t>
  </si>
  <si>
    <t>IV. ESTRUCTURAS Y DRENAJES</t>
  </si>
  <si>
    <t>VI. TRANSPORTES</t>
  </si>
  <si>
    <t>TOTAL AIU</t>
  </si>
  <si>
    <t>IVA SOBRE LA UTILIDAD</t>
  </si>
  <si>
    <t>REVISIÓN Y/O AJUSTE Y/O ACTUALIZACIÓN Y/O MODIFICACIÓN Y/O COMPLEMENTACIÓN Y/O ELABORACION DE ESTUDIOS Y DISEÑOS PARA CONSTRUCCIÓN DE CARRETERAS INCLUIDO IVA</t>
  </si>
  <si>
    <t>OBRAS AMBIENTALES DEL PAGA Y GESTIÓN SOCIAL E INMOBILIARIA Y PMT INCLUIDO IVA</t>
  </si>
  <si>
    <t>PRESUPUESTO TOTAL</t>
  </si>
  <si>
    <t>No. de Proyectos del Proceso</t>
  </si>
  <si>
    <t>VALOR PROPUESTA ECONÓMICA CORREGIDA</t>
  </si>
  <si>
    <t>VALOR PROPUESTA ECONÓMICA</t>
  </si>
  <si>
    <t>PROYECTO No. 2: MEJORAMIENTO MEDIANTE CONSTRUCCIÓN DE PLACA HUELLA DE VÍAS TERCIARIAS DEL MUNICIPIO DE LA GLORIA, DEPARTAMENTO DEL CESAR VINCULADOS AL CONTRIBUYENTE ECOPETROL S.A. DENTRO DEL MARCO DEL MECANISMO DE OBRAS POR IMPUESTOS</t>
  </si>
  <si>
    <t>II. SUBBASES, BASES Y AFRIMADOS</t>
  </si>
  <si>
    <t>III. PAVIMENTO DE CONCRETO HIDRÁULICO</t>
  </si>
  <si>
    <t>V. OBRAS DE SEÑALIZACIÓN Y SEGURIDAD</t>
  </si>
  <si>
    <t>200.2</t>
  </si>
  <si>
    <t>230.1</t>
  </si>
  <si>
    <t>311.1</t>
  </si>
  <si>
    <t>320.3</t>
  </si>
  <si>
    <t>630.1P</t>
  </si>
  <si>
    <t>630.7</t>
  </si>
  <si>
    <t>630.4.2P</t>
  </si>
  <si>
    <t>600.2.3</t>
  </si>
  <si>
    <t>672.3</t>
  </si>
  <si>
    <t>671.3</t>
  </si>
  <si>
    <t>642.1P</t>
  </si>
  <si>
    <t>642.2P</t>
  </si>
  <si>
    <t>710.2</t>
  </si>
  <si>
    <t xml:space="preserve">DESMONTE Y LIMPIEZA EN ZONA NO BOSCOSA </t>
  </si>
  <si>
    <t xml:space="preserve">Há </t>
  </si>
  <si>
    <t xml:space="preserve">M2 </t>
  </si>
  <si>
    <t xml:space="preserve">EXCAVACIÓN EN MATERIAL COMÚN DE LA EXPLANACIÓN CANALES Y PRÉSTAMOS. </t>
  </si>
  <si>
    <t xml:space="preserve">M3 </t>
  </si>
  <si>
    <t xml:space="preserve">CONFORMACIÓN DE LA CALZADA EXISTENTE </t>
  </si>
  <si>
    <t>AFIRMADO</t>
  </si>
  <si>
    <t>SUB BASE GRANULAR CLASE C</t>
  </si>
  <si>
    <t>PLACA HUELLA DE CONCRETO HIDRÁULICO CLASE 21 MPA E=0,15 M</t>
  </si>
  <si>
    <t>CONCRETO CICLÓPEO 14 Mpa (G) (Ciclopeo)</t>
  </si>
  <si>
    <t>VIGA RIOSTRA CONCRETO CLASE 21MPA (0,30 x 0,20 X 4,60 MTS) INCLUYE LA PREPARACIÓN DE LA SUPERFICIE DE APOYO</t>
  </si>
  <si>
    <t xml:space="preserve">ML </t>
  </si>
  <si>
    <t>EXCAVACIONES VARIAS EN MATERIAL COMÚN EN SECO (VIGAS RIOSTRAS) A MANO</t>
  </si>
  <si>
    <t>M3</t>
  </si>
  <si>
    <t>EXCAVACIONES VARIAS EN MATERIAL COMÚN EN SECO (ALCANTARILLAS)</t>
  </si>
  <si>
    <t>RELLENO PARA ESTRUCTURAS CON RECEBO (ALCANTARILLAS)</t>
  </si>
  <si>
    <t>BORDILLOS DE CONCRETO  VACIADO IN SITU, INCLUYE LA PREPARACIÓN DE LA SUPERFICIE DE APOYO</t>
  </si>
  <si>
    <t>CUNETAS DE CONCRETO VACIADA IN SITU, INCLUYE LA CONFORMACIÓN DE LA SUPERFICIE DE APOYO</t>
  </si>
  <si>
    <t xml:space="preserve">ACERO DE REFUERZO Fy 4200 Mpa </t>
  </si>
  <si>
    <t xml:space="preserve">KG </t>
  </si>
  <si>
    <t xml:space="preserve">CONSTRUCCIÓN DE JUNTAS PARA PLACA HUELLA </t>
  </si>
  <si>
    <t xml:space="preserve">SELLADO PARA JUNTAS </t>
  </si>
  <si>
    <t>TUBERÍA DE CONCRETO RFORZADO 21 Mpa de 900 mm DE DIÁMETRO INTERIOR</t>
  </si>
  <si>
    <t>CONCRETO RESISTENCIA 21 Mpa (D)</t>
  </si>
  <si>
    <t xml:space="preserve">SEÑALES DE TRÁNSITO GRUPO V (INFORMATIVAS) </t>
  </si>
  <si>
    <t xml:space="preserve">UND </t>
  </si>
  <si>
    <t>SEÑAL VERTICAL TRÁNSITO TIPO 1 CON LÁMINA RETRORREFLECTIVA TIPO III (75X75) CM</t>
  </si>
  <si>
    <t>TRANSPORTE DE MATERIALES PROVENIENTES DE LA EXCAVACIÓN DE LA EXPLANACIÓN, CANALES Y PRÉSTAMOS PARA DISTANCIAS MAYORES DE MIL METROS (1000 M), MEDIDO A PARTIR DE CIEN METROS (100 M)</t>
  </si>
  <si>
    <t xml:space="preserve">M3-Km </t>
  </si>
  <si>
    <t xml:space="preserve">MEJORAMIENTO DE LA SUB RASANTE EMPLEANDO MATERIAL ADICIONADO </t>
  </si>
  <si>
    <t>TOTAL COSTOS DIRECTOS DE LA OBRA</t>
  </si>
  <si>
    <t>ADMINISTRACIÓN + IMPREVISTOS</t>
  </si>
  <si>
    <t>VALOR TOTAL DE LAS OBRAS, INCLUYE AIU</t>
  </si>
  <si>
    <t>GRAN TOTAL DE LA VIA CON AIU E IVA</t>
  </si>
  <si>
    <t>CONSORCIO VIAL LA GLORIA</t>
  </si>
  <si>
    <t>CONSORCIO NUEVAS VIAS 2018</t>
  </si>
  <si>
    <t>UNION TEMPORAL VIAS 2018</t>
  </si>
  <si>
    <t>R3 CONSTRUCTORES &amp; CONSULTORES SAS</t>
  </si>
  <si>
    <t>UNION TEMPORAL ZOMAC-LA GLORIA</t>
  </si>
  <si>
    <t>CONSTRUAMBIENTES SAS</t>
  </si>
  <si>
    <t>CONSORCIO VIAL</t>
  </si>
  <si>
    <t>CONSORCIO VIAS TERCIARIAS</t>
  </si>
  <si>
    <t>CONSORCIO LA GLORIA</t>
  </si>
  <si>
    <t>CONSORCIO HUILA 2018</t>
  </si>
  <si>
    <t>CONSORCIO B&amp;B LA GLORIA</t>
  </si>
  <si>
    <t>CONSORCIO PROYECTO 1</t>
  </si>
  <si>
    <t>CONSORCIO VIAS NACIONALES 007</t>
  </si>
  <si>
    <t>KMC SAS</t>
  </si>
  <si>
    <t>CONSORCIO MANZANARES</t>
  </si>
  <si>
    <t>DISCEP SAS</t>
  </si>
  <si>
    <t>CONSORCIO OBRAS MI</t>
  </si>
  <si>
    <t>INGENIERIA DE PROYECTOS AML SAS</t>
  </si>
  <si>
    <t>CONSORCIO VIAL PUTUMAYO</t>
  </si>
  <si>
    <t>UNION TEMPORAL PAVIMENTOS ARIZONA</t>
  </si>
  <si>
    <t>OBRAS CIVILES Y EQUIPOS SAS – OCIEQUIPOS SAS</t>
  </si>
  <si>
    <t>MEDIA GEOMÉTRICA CON PRESUPUESTO ESTIMADO</t>
  </si>
  <si>
    <t>3. Media Geométrica con presupuesto estimado</t>
  </si>
  <si>
    <t>Media geométrica con presupuesto estimado aproximado a números enteros = Mgpo</t>
  </si>
  <si>
    <t>CORRECCIÓN ARITMÉTICA POR VALORES UNITARIOS CON DECIMALES</t>
  </si>
  <si>
    <t>EL PROPONENTE PRESENTA VARIOS ÍTEMS QUE SUPERAN LOS VALORES REGISTRADOS DENTRO DEL PRESUPUESTO ESTIMADO DEL PROYECTO</t>
  </si>
  <si>
    <t>CORRECCIÓN ARITMÉTICA SOBRE SUBTOTALES DE ÍTEMS</t>
  </si>
  <si>
    <t>CORRECCIÓN ARIMTÉTICA SOBRE EL VALOR DEL IVA</t>
  </si>
  <si>
    <t>CORRECCIÓN ARIMTÉTICA SOBRE VALOR DE UN SUBTOTAL</t>
  </si>
  <si>
    <t>EL VALOR DEL ÍTEM No. 20 SUPERA EL VALOR DEL PRESUPUESTO ESTIMADO</t>
  </si>
  <si>
    <t>RESUMEN EVALUACION PROYECTO 2</t>
  </si>
  <si>
    <t>NUMERO DE PROPONENTE</t>
  </si>
  <si>
    <t>NOMBRE DEL PROPONENTE</t>
  </si>
  <si>
    <t>CALIFICACION</t>
  </si>
  <si>
    <t>JURIDICA</t>
  </si>
  <si>
    <t>FINANCIERA</t>
  </si>
  <si>
    <t>TECNICA</t>
  </si>
  <si>
    <t>CALIFICACION DEFINITIVA</t>
  </si>
  <si>
    <t xml:space="preserve"> CUMPLE </t>
  </si>
  <si>
    <t>RECHAZADO</t>
  </si>
  <si>
    <t xml:space="preserve"> NO CUMPLE </t>
  </si>
  <si>
    <t>NO CUMPLE</t>
  </si>
  <si>
    <t>CUMPLE</t>
  </si>
  <si>
    <t xml:space="preserve"> RECHAZO </t>
  </si>
  <si>
    <t>CUMPLE </t>
  </si>
  <si>
    <t>EVALUACION ECONOMICA</t>
  </si>
  <si>
    <t>NO SE PAERTURO</t>
  </si>
  <si>
    <t>NO SE APERTURO</t>
  </si>
</sst>
</file>

<file path=xl/styles.xml><?xml version="1.0" encoding="utf-8"?>
<styleSheet xmlns="http://schemas.openxmlformats.org/spreadsheetml/2006/main" xmlns:mc="http://schemas.openxmlformats.org/markup-compatibility/2006" xmlns:x14ac="http://schemas.microsoft.com/office/spreadsheetml/2009/9/ac" mc:Ignorable="x14ac">
  <numFmts count="52">
    <numFmt numFmtId="41" formatCode="_(* #,##0_);_(* \(#,##0\);_(* &quot;-&quot;_);_(@_)"/>
    <numFmt numFmtId="44" formatCode="_(&quot;$&quot;\ * #,##0.00_);_(&quot;$&quot;\ * \(#,##0.00\);_(&quot;$&quot;\ * &quot;-&quot;??_);_(@_)"/>
    <numFmt numFmtId="43" formatCode="_(* #,##0.00_);_(* \(#,##0.00\);_(* &quot;-&quot;??_);_(@_)"/>
    <numFmt numFmtId="164" formatCode="_-* #,##0_-;\-* #,##0_-;_-* &quot;-&quot;_-;_-@_-"/>
    <numFmt numFmtId="165" formatCode="_(&quot;$&quot;* #,##0.00_);_(&quot;$&quot;* \(#,##0.00\);_(&quot;$&quot;* &quot;-&quot;??_);_(@_)"/>
    <numFmt numFmtId="166" formatCode="_-* #,##0.00\ &quot;Pts&quot;_-;\-* #,##0.00\ &quot;Pts&quot;_-;_-* &quot;-&quot;??\ &quot;Pts&quot;_-;_-@_-"/>
    <numFmt numFmtId="167" formatCode="_-* #,##0.00\ _P_t_s_-;\-* #,##0.00\ _P_t_s_-;_-* &quot;-&quot;??\ _P_t_s_-;_-@_-"/>
    <numFmt numFmtId="168" formatCode="#,##0.0"/>
    <numFmt numFmtId="169" formatCode="#,##0.00;[Red]#,##0.00"/>
    <numFmt numFmtId="170" formatCode="&quot;VALOR PARA EL CONTRATO=$&quot;\ #,##0.00"/>
    <numFmt numFmtId="171" formatCode="#,##0&quot;º&quot;"/>
    <numFmt numFmtId="172" formatCode="0.0000000"/>
    <numFmt numFmtId="173" formatCode="_ [$€-2]\ * #,##0.00_ ;_ [$€-2]\ * \-#,##0.00_ ;_ [$€-2]\ * &quot;-&quot;??_ "/>
    <numFmt numFmtId="174" formatCode="_(* #,##0_);_(* \(#,##0\);_(* &quot;-&quot;??_);_(@_)"/>
    <numFmt numFmtId="175" formatCode="0.0000E+00"/>
    <numFmt numFmtId="176" formatCode="_([$$-240A]\ * #,##0.00_);_([$$-240A]\ * \(#,##0.00\);_([$$-240A]\ * &quot;-&quot;??_);_(@_)"/>
    <numFmt numFmtId="177" formatCode="0.000000000000000E+00"/>
    <numFmt numFmtId="178" formatCode="_-* #,##0\ _P_t_s_-;\-* #,##0\ _P_t_s_-;_-* &quot;-&quot;??\ _P_t_s_-;_-@_-"/>
    <numFmt numFmtId="179" formatCode="0.0000000000000"/>
    <numFmt numFmtId="180" formatCode="0.000000000000E+00"/>
    <numFmt numFmtId="181" formatCode="0.000E+00"/>
    <numFmt numFmtId="182" formatCode="##0"/>
    <numFmt numFmtId="183" formatCode="0.000"/>
    <numFmt numFmtId="184" formatCode="0.0000"/>
    <numFmt numFmtId="185" formatCode="0.00%;\-0.00%;&quot;&quot;"/>
    <numFmt numFmtId="186" formatCode="&quot;$&quot;#,##0\ ;\(&quot;$&quot;#,##0\)"/>
    <numFmt numFmtId="187" formatCode="\(0%\)"/>
    <numFmt numFmtId="188" formatCode="d\ \d\e\ mmmm\ \d\e\ yyyy"/>
    <numFmt numFmtId="189" formatCode="000\°00&quot;´&quot;00&quot;´´&quot;"/>
    <numFmt numFmtId="190" formatCode="0%;\-0%;&quot;&quot;"/>
    <numFmt numFmtId="191" formatCode="#0&quot;.&quot;000&quot;´&quot;000&quot;.&quot;000"/>
    <numFmt numFmtId="192" formatCode="##0&quot;.&quot;000"/>
    <numFmt numFmtId="193" formatCode="&quot;$&quot;\ #,##0.00"/>
    <numFmt numFmtId="194" formatCode="#,##0.0000"/>
    <numFmt numFmtId="195" formatCode="_-* #,##0.00\ _€_-;\-* #,##0.00\ _€_-;_-* &quot;-&quot;??\ _€_-;_-@_-"/>
    <numFmt numFmtId="196" formatCode="_-* #,##0.00\ _P_t_a_-;\-* #,##0.00\ _P_t_a_-;_-* &quot;-&quot;??\ _P_t_a_-;_-@_-"/>
    <numFmt numFmtId="197" formatCode="_ * #,##0.00_ ;_ * \-#,##0.00_ ;_ * &quot;-&quot;??_ ;_ @_ "/>
    <numFmt numFmtId="198" formatCode="##0&quot;´&quot;000&quot;.&quot;000"/>
    <numFmt numFmtId="199" formatCode="[$$-240A]\ #,##0.00"/>
    <numFmt numFmtId="200" formatCode="_ &quot;$&quot;* #,##0.00_ ;_ &quot;$&quot;* \-#,##0.00_ ;_ &quot;$&quot;* &quot;-&quot;??_ ;_ @_ "/>
    <numFmt numFmtId="201" formatCode="#.##\ \K\g"/>
    <numFmt numFmtId="202" formatCode="_(* #,##0.0_);_(* \(#,##0.0\);_(* &quot;-&quot;??_);_(@_)"/>
    <numFmt numFmtId="203" formatCode="#0&quot;.&quot;"/>
    <numFmt numFmtId="204" formatCode="0.0%;\-0.0%;&quot;&quot;"/>
    <numFmt numFmtId="205" formatCode="_([$€]* #,##0.00_);_([$€]* \(#,##0.00\);_([$€]* &quot;-&quot;??_);_(@_)"/>
    <numFmt numFmtId="206" formatCode="&quot;$&quot;\ #,##0.00;&quot;$&quot;\ \-#,##0.00"/>
    <numFmt numFmtId="207" formatCode="0\+000"/>
    <numFmt numFmtId="208" formatCode="#,##0.0000000"/>
    <numFmt numFmtId="209" formatCode="0.0000%"/>
    <numFmt numFmtId="210" formatCode="0.000000000000000"/>
    <numFmt numFmtId="211" formatCode="0.000%"/>
    <numFmt numFmtId="212" formatCode="_-* #,##0.00_-;\-* #,##0.00_-;_-* &quot;-&quot;_-;_-@_-"/>
  </numFmts>
  <fonts count="69"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sz val="10"/>
      <name val="Arial"/>
      <family val="2"/>
    </font>
    <font>
      <b/>
      <sz val="9"/>
      <name val="Arial"/>
      <family val="2"/>
    </font>
    <font>
      <b/>
      <sz val="8"/>
      <name val="Arial"/>
      <family val="2"/>
    </font>
    <font>
      <sz val="8"/>
      <name val="Arial"/>
      <family val="2"/>
    </font>
    <font>
      <sz val="10"/>
      <name val="Arial"/>
      <family val="2"/>
    </font>
    <font>
      <i/>
      <sz val="8"/>
      <name val="Arial"/>
      <family val="2"/>
    </font>
    <font>
      <sz val="11"/>
      <name val="Arial"/>
      <family val="2"/>
    </font>
    <font>
      <b/>
      <sz val="7"/>
      <name val="Arial"/>
      <family val="2"/>
    </font>
    <font>
      <sz val="7"/>
      <name val="Arial"/>
      <family val="2"/>
    </font>
    <font>
      <b/>
      <sz val="11"/>
      <name val="Arial"/>
      <family val="2"/>
    </font>
    <font>
      <b/>
      <sz val="12"/>
      <name val="Times New Roman"/>
      <family val="1"/>
    </font>
    <font>
      <b/>
      <sz val="16"/>
      <name val="Times New Roman"/>
      <family val="1"/>
    </font>
    <font>
      <sz val="12"/>
      <name val="Times New Roman"/>
      <family val="1"/>
    </font>
    <font>
      <sz val="14"/>
      <name val="Arial"/>
      <family val="2"/>
    </font>
    <font>
      <b/>
      <sz val="14"/>
      <name val="Times New Roman"/>
      <family val="1"/>
    </font>
    <font>
      <sz val="22"/>
      <name val="Arial"/>
      <family val="2"/>
    </font>
    <font>
      <b/>
      <sz val="14"/>
      <color indexed="10"/>
      <name val="Times New Roman"/>
      <family val="1"/>
    </font>
    <font>
      <sz val="10"/>
      <color indexed="8"/>
      <name val="Arial"/>
      <family val="2"/>
    </font>
    <font>
      <b/>
      <sz val="8"/>
      <color indexed="12"/>
      <name val="Arial"/>
      <family val="2"/>
    </font>
    <font>
      <b/>
      <i/>
      <sz val="10"/>
      <name val="Arial"/>
      <family val="2"/>
    </font>
    <font>
      <b/>
      <sz val="16"/>
      <name val="Arial"/>
      <family val="2"/>
    </font>
    <font>
      <b/>
      <sz val="6"/>
      <name val="Arial"/>
      <family val="2"/>
    </font>
    <font>
      <b/>
      <vertAlign val="superscript"/>
      <sz val="9"/>
      <name val="Arial"/>
      <family val="2"/>
    </font>
    <font>
      <sz val="11"/>
      <color theme="1"/>
      <name val="Calibri"/>
      <family val="2"/>
      <scheme val="minor"/>
    </font>
    <font>
      <b/>
      <sz val="11"/>
      <color theme="1"/>
      <name val="Calibri"/>
      <family val="2"/>
      <scheme val="minor"/>
    </font>
    <font>
      <b/>
      <vertAlign val="superscript"/>
      <sz val="11"/>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Modern"/>
      <family val="3"/>
      <charset val="255"/>
    </font>
    <font>
      <sz val="10"/>
      <name val="Helv"/>
    </font>
    <font>
      <b/>
      <sz val="11"/>
      <color indexed="8"/>
      <name val="Calibri"/>
      <family val="2"/>
    </font>
    <font>
      <i/>
      <sz val="11"/>
      <color indexed="23"/>
      <name val="Calibri"/>
      <family val="2"/>
    </font>
    <font>
      <sz val="1"/>
      <color indexed="8"/>
      <name val="Courier"/>
      <family val="3"/>
    </font>
    <font>
      <i/>
      <sz val="1"/>
      <color indexed="8"/>
      <name val="Courier"/>
      <family val="3"/>
    </font>
    <font>
      <sz val="11"/>
      <color indexed="17"/>
      <name val="Calibri"/>
      <family val="2"/>
    </font>
    <font>
      <b/>
      <sz val="10"/>
      <color indexed="24"/>
      <name val="Modern"/>
      <family val="3"/>
      <charset val="255"/>
    </font>
    <font>
      <sz val="8"/>
      <color indexed="24"/>
      <name val="Arial"/>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8"/>
      <name val="Arial"/>
      <family val="2"/>
    </font>
    <font>
      <b/>
      <sz val="11"/>
      <color indexed="63"/>
      <name val="Calibri"/>
      <family val="2"/>
    </font>
    <font>
      <b/>
      <sz val="18"/>
      <color indexed="56"/>
      <name val="Cambria"/>
      <family val="2"/>
    </font>
    <font>
      <b/>
      <sz val="18"/>
      <color indexed="62"/>
      <name val="Cambria"/>
      <family val="2"/>
    </font>
    <font>
      <sz val="11"/>
      <color indexed="10"/>
      <name val="Calibri"/>
      <family val="2"/>
    </font>
    <font>
      <b/>
      <sz val="10"/>
      <color rgb="FFFF0000"/>
      <name val="Arial"/>
      <family val="2"/>
    </font>
    <font>
      <sz val="10"/>
      <name val="Arial"/>
      <family val="2"/>
    </font>
    <font>
      <sz val="10"/>
      <color theme="0"/>
      <name val="Arial"/>
      <family val="2"/>
    </font>
    <font>
      <b/>
      <sz val="20"/>
      <name val="Arial"/>
      <family val="2"/>
    </font>
    <font>
      <b/>
      <sz val="12"/>
      <color rgb="FFFF0000"/>
      <name val="Times New Roman"/>
      <family val="1"/>
    </font>
    <font>
      <sz val="8"/>
      <color rgb="FF000000"/>
      <name val="Verdana"/>
      <family val="2"/>
    </font>
    <font>
      <sz val="14"/>
      <color theme="0"/>
      <name val="Arial"/>
      <family val="2"/>
    </font>
    <font>
      <sz val="10"/>
      <name val="Arial"/>
    </font>
    <font>
      <sz val="8"/>
      <color rgb="FFFF0000"/>
      <name val="Arial"/>
      <family val="2"/>
    </font>
    <font>
      <sz val="11"/>
      <color rgb="FF000000"/>
      <name val="Verdana"/>
      <family val="2"/>
    </font>
    <font>
      <b/>
      <sz val="7"/>
      <color rgb="FF000000"/>
      <name val="Arial Narrow"/>
      <family val="2"/>
    </font>
    <font>
      <sz val="7"/>
      <color rgb="FF000000"/>
      <name val="Arial Narrow"/>
      <family val="2"/>
    </font>
    <font>
      <b/>
      <sz val="7"/>
      <name val="Arial Narrow"/>
      <family val="2"/>
    </font>
  </fonts>
  <fills count="49">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rgb="FFFFCC81"/>
        <bgColor indexed="64"/>
      </patternFill>
    </fill>
    <fill>
      <patternFill patternType="solid">
        <fgColor rgb="FFC0C0C0"/>
        <bgColor indexed="64"/>
      </patternFill>
    </fill>
    <fill>
      <patternFill patternType="solid">
        <fgColor rgb="FF99CCFF"/>
        <bgColor indexed="64"/>
      </patternFill>
    </fill>
    <fill>
      <patternFill patternType="solid">
        <fgColor rgb="FFFF99CC"/>
        <bgColor indexed="64"/>
      </patternFill>
    </fill>
    <fill>
      <patternFill patternType="solid">
        <fgColor rgb="FFFFCCCC"/>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rgb="FFB8CCE4"/>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CE4D6"/>
        <bgColor indexed="64"/>
      </patternFill>
    </fill>
  </fills>
  <borders count="129">
    <border>
      <left/>
      <right/>
      <top/>
      <bottom/>
      <diagonal/>
    </border>
    <border>
      <left style="medium">
        <color indexed="64"/>
      </left>
      <right style="medium">
        <color indexed="64"/>
      </right>
      <top style="thin">
        <color indexed="64"/>
      </top>
      <bottom style="thin">
        <color indexed="64"/>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diagonal/>
    </border>
    <border>
      <left style="thin">
        <color indexed="64"/>
      </left>
      <right style="double">
        <color indexed="64"/>
      </right>
      <top style="dotted">
        <color indexed="64"/>
      </top>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bottom style="dotted">
        <color indexed="64"/>
      </bottom>
      <diagonal/>
    </border>
    <border>
      <left style="double">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style="double">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double">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thin">
        <color indexed="64"/>
      </top>
      <bottom style="thin">
        <color indexed="64"/>
      </bottom>
      <diagonal/>
    </border>
    <border>
      <left style="medium">
        <color indexed="64"/>
      </left>
      <right style="medium">
        <color indexed="64"/>
      </right>
      <top/>
      <bottom/>
      <diagonal/>
    </border>
    <border>
      <left style="dotted">
        <color indexed="64"/>
      </left>
      <right style="dotted">
        <color indexed="64"/>
      </right>
      <top style="thin">
        <color indexed="64"/>
      </top>
      <bottom style="double">
        <color indexed="64"/>
      </bottom>
      <diagonal/>
    </border>
    <border>
      <left/>
      <right/>
      <top style="thin">
        <color indexed="64"/>
      </top>
      <bottom/>
      <diagonal/>
    </border>
    <border>
      <left/>
      <right/>
      <top style="double">
        <color indexed="64"/>
      </top>
      <bottom style="thin">
        <color indexed="64"/>
      </bottom>
      <diagonal/>
    </border>
    <border>
      <left style="thin">
        <color indexed="64"/>
      </left>
      <right style="double">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30">
    <xf numFmtId="0" fontId="0" fillId="0" borderId="0"/>
    <xf numFmtId="0" fontId="23" fillId="0" borderId="0">
      <alignment vertical="top"/>
    </xf>
    <xf numFmtId="173" fontId="3" fillId="0" borderId="0" applyFont="0" applyFill="0" applyBorder="0" applyAlignment="0" applyProtection="0"/>
    <xf numFmtId="167"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10" fillId="0" borderId="0"/>
    <xf numFmtId="0" fontId="3" fillId="0" borderId="0"/>
    <xf numFmtId="0" fontId="3" fillId="0" borderId="0"/>
    <xf numFmtId="0" fontId="3"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0" fontId="2" fillId="0" borderId="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2" fontId="3" fillId="0" borderId="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20" borderId="0" applyNumberFormat="0" applyBorder="0" applyAlignment="0" applyProtection="0"/>
    <xf numFmtId="0" fontId="34" fillId="21"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8" borderId="0" applyNumberFormat="0" applyBorder="0" applyAlignment="0" applyProtection="0"/>
    <xf numFmtId="0" fontId="35" fillId="12" borderId="0" applyNumberFormat="0" applyBorder="0" applyAlignment="0" applyProtection="0"/>
    <xf numFmtId="0" fontId="36" fillId="29" borderId="99" applyNumberFormat="0" applyAlignment="0" applyProtection="0"/>
    <xf numFmtId="0" fontId="37" fillId="30" borderId="100" applyNumberFormat="0" applyAlignment="0" applyProtection="0"/>
    <xf numFmtId="182" fontId="9" fillId="0" borderId="89">
      <alignment horizontal="right"/>
    </xf>
    <xf numFmtId="2" fontId="9" fillId="0" borderId="0"/>
    <xf numFmtId="183" fontId="9" fillId="0" borderId="0"/>
    <xf numFmtId="184" fontId="8" fillId="0" borderId="0"/>
    <xf numFmtId="182" fontId="9" fillId="0" borderId="89">
      <alignment horizontal="right"/>
    </xf>
    <xf numFmtId="178" fontId="3" fillId="0" borderId="0">
      <protection locked="0"/>
    </xf>
    <xf numFmtId="3" fontId="38" fillId="0" borderId="0" applyFont="0" applyFill="0" applyBorder="0" applyAlignment="0" applyProtection="0"/>
    <xf numFmtId="0" fontId="39" fillId="0" borderId="0"/>
    <xf numFmtId="0" fontId="39" fillId="0" borderId="0"/>
    <xf numFmtId="0" fontId="39" fillId="0" borderId="0"/>
    <xf numFmtId="185" fontId="3" fillId="0" borderId="0">
      <protection locked="0"/>
    </xf>
    <xf numFmtId="186" fontId="38" fillId="0" borderId="0" applyFont="0" applyFill="0" applyBorder="0" applyAlignment="0" applyProtection="0"/>
    <xf numFmtId="187" fontId="3" fillId="0" borderId="0">
      <protection locked="0"/>
    </xf>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4"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4" fillId="37" borderId="0" applyNumberFormat="0" applyBorder="0" applyAlignment="0" applyProtection="0"/>
    <xf numFmtId="0" fontId="33" fillId="34" borderId="0" applyNumberFormat="0" applyBorder="0" applyAlignment="0" applyProtection="0"/>
    <xf numFmtId="0" fontId="33" fillId="37" borderId="0" applyNumberFormat="0" applyBorder="0" applyAlignment="0" applyProtection="0"/>
    <xf numFmtId="0" fontId="34" fillId="37" borderId="0" applyNumberFormat="0" applyBorder="0" applyAlignment="0" applyProtection="0"/>
    <xf numFmtId="0" fontId="33" fillId="40"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41" borderId="0" applyNumberFormat="0" applyBorder="0" applyAlignment="0" applyProtection="0"/>
    <xf numFmtId="0" fontId="34" fillId="41" borderId="0" applyNumberFormat="0" applyBorder="0" applyAlignment="0" applyProtection="0"/>
    <xf numFmtId="1" fontId="3" fillId="0" borderId="0"/>
    <xf numFmtId="0" fontId="3" fillId="0" borderId="0" applyFont="0" applyFill="0" applyBorder="0" applyAlignment="0" applyProtection="0"/>
    <xf numFmtId="0" fontId="41" fillId="0" borderId="0" applyNumberFormat="0" applyFill="0" applyBorder="0" applyAlignment="0" applyProtection="0"/>
    <xf numFmtId="4" fontId="42" fillId="0" borderId="0">
      <protection locked="0"/>
    </xf>
    <xf numFmtId="4" fontId="42" fillId="0" borderId="0">
      <protection locked="0"/>
    </xf>
    <xf numFmtId="4" fontId="43" fillId="0" borderId="0">
      <protection locked="0"/>
    </xf>
    <xf numFmtId="4" fontId="42" fillId="0" borderId="0">
      <protection locked="0"/>
    </xf>
    <xf numFmtId="4" fontId="42" fillId="0" borderId="0">
      <protection locked="0"/>
    </xf>
    <xf numFmtId="4" fontId="42" fillId="0" borderId="0">
      <protection locked="0"/>
    </xf>
    <xf numFmtId="4" fontId="43" fillId="0" borderId="0">
      <protection locked="0"/>
    </xf>
    <xf numFmtId="188" fontId="3" fillId="0" borderId="0">
      <protection locked="0"/>
    </xf>
    <xf numFmtId="0" fontId="44" fillId="13" borderId="0" applyNumberFormat="0" applyBorder="0" applyAlignment="0" applyProtection="0"/>
    <xf numFmtId="189" fontId="3" fillId="0" borderId="0"/>
    <xf numFmtId="0" fontId="45" fillId="0" borderId="0" applyNumberFormat="0" applyFill="0" applyBorder="0" applyAlignment="0" applyProtection="0"/>
    <xf numFmtId="0" fontId="46" fillId="0" borderId="0" applyNumberFormat="0" applyFill="0" applyBorder="0" applyAlignment="0" applyProtection="0"/>
    <xf numFmtId="0" fontId="47" fillId="0" borderId="101" applyNumberFormat="0" applyFill="0" applyAlignment="0" applyProtection="0"/>
    <xf numFmtId="0" fontId="47" fillId="0" borderId="0" applyNumberFormat="0" applyFill="0" applyBorder="0" applyAlignment="0" applyProtection="0"/>
    <xf numFmtId="190" fontId="3" fillId="0" borderId="0">
      <protection locked="0"/>
    </xf>
    <xf numFmtId="190" fontId="3" fillId="0" borderId="0">
      <protection locked="0"/>
    </xf>
    <xf numFmtId="0" fontId="48" fillId="0" borderId="0" applyNumberFormat="0" applyFill="0" applyBorder="0" applyAlignment="0" applyProtection="0">
      <alignment vertical="top"/>
      <protection locked="0"/>
    </xf>
    <xf numFmtId="0" fontId="49" fillId="16" borderId="99" applyNumberFormat="0" applyAlignment="0" applyProtection="0"/>
    <xf numFmtId="0" fontId="50" fillId="0" borderId="102" applyNumberFormat="0" applyFill="0" applyAlignment="0" applyProtection="0"/>
    <xf numFmtId="191" fontId="9" fillId="0" borderId="0">
      <alignment horizontal="right"/>
    </xf>
    <xf numFmtId="192" fontId="9" fillId="0" borderId="0" applyFont="0" applyFill="0" applyBorder="0" applyAlignment="0">
      <alignment horizontal="center"/>
    </xf>
    <xf numFmtId="41" fontId="2" fillId="0" borderId="0" applyFont="0" applyFill="0" applyBorder="0" applyAlignment="0" applyProtection="0"/>
    <xf numFmtId="168"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4" fontId="3" fillId="0" borderId="0" applyFont="0" applyFill="0" applyBorder="0" applyAlignment="0" applyProtection="0"/>
    <xf numFmtId="4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4" fontId="3" fillId="0" borderId="0" applyFont="0" applyFill="0" applyBorder="0" applyAlignment="0" applyProtection="0"/>
    <xf numFmtId="195" fontId="5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6" fontId="3" fillId="0" borderId="0" applyFont="0" applyFill="0" applyBorder="0" applyAlignment="0" applyProtection="0"/>
    <xf numFmtId="43" fontId="3" fillId="0" borderId="0" applyFont="0" applyFill="0" applyBorder="0" applyAlignment="0" applyProtection="0"/>
    <xf numFmtId="194" fontId="3" fillId="0" borderId="0" applyFont="0" applyFill="0" applyBorder="0" applyAlignment="0" applyProtection="0"/>
    <xf numFmtId="43" fontId="3" fillId="0" borderId="0" applyFont="0" applyFill="0" applyBorder="0" applyAlignment="0" applyProtection="0"/>
    <xf numFmtId="193" fontId="3" fillId="0" borderId="0" applyFont="0" applyFill="0" applyBorder="0" applyAlignment="0" applyProtection="0"/>
    <xf numFmtId="43" fontId="3" fillId="0" borderId="0" applyFont="0" applyFill="0" applyBorder="0" applyAlignment="0" applyProtection="0"/>
    <xf numFmtId="194" fontId="3" fillId="0" borderId="0" applyFont="0" applyFill="0" applyBorder="0" applyAlignment="0" applyProtection="0"/>
    <xf numFmtId="43" fontId="3" fillId="0" borderId="0" applyFont="0" applyFill="0" applyBorder="0" applyAlignment="0" applyProtection="0"/>
    <xf numFmtId="194" fontId="3" fillId="0" borderId="0" applyFont="0" applyFill="0" applyBorder="0" applyAlignment="0" applyProtection="0"/>
    <xf numFmtId="193" fontId="3" fillId="0" borderId="0" applyFont="0" applyFill="0" applyBorder="0" applyAlignment="0" applyProtection="0"/>
    <xf numFmtId="43" fontId="2"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8" fontId="9" fillId="0" borderId="0">
      <alignment horizontal="right"/>
    </xf>
    <xf numFmtId="199" fontId="9" fillId="0" borderId="55"/>
    <xf numFmtId="200" fontId="3" fillId="0" borderId="0"/>
    <xf numFmtId="201" fontId="3" fillId="0" borderId="0" applyFont="0" applyFill="0" applyBorder="0" applyAlignment="0" applyProtection="0"/>
    <xf numFmtId="201" fontId="3" fillId="0" borderId="0" applyFont="0" applyFill="0" applyBorder="0" applyAlignment="0" applyProtection="0"/>
    <xf numFmtId="44" fontId="33" fillId="0" borderId="0" applyFont="0" applyFill="0" applyBorder="0" applyAlignment="0" applyProtection="0"/>
    <xf numFmtId="202" fontId="3" fillId="0" borderId="0" applyFont="0" applyFill="0" applyBorder="0" applyAlignment="0" applyProtection="0"/>
    <xf numFmtId="44" fontId="3" fillId="0" borderId="0" applyFont="0" applyFill="0" applyBorder="0" applyAlignment="0" applyProtection="0"/>
    <xf numFmtId="203" fontId="9" fillId="0" borderId="0" applyFont="0" applyFill="0" applyBorder="0" applyAlignment="0">
      <alignment horizont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2" fillId="0" borderId="0" applyFont="0" applyFill="0" applyBorder="0" applyAlignment="0" applyProtection="0"/>
    <xf numFmtId="0" fontId="3" fillId="0" borderId="0"/>
    <xf numFmtId="43" fontId="2" fillId="0" borderId="0" applyFont="0" applyFill="0" applyBorder="0" applyAlignment="0" applyProtection="0"/>
    <xf numFmtId="0" fontId="3" fillId="0" borderId="0"/>
    <xf numFmtId="0" fontId="3" fillId="0" borderId="0"/>
    <xf numFmtId="0" fontId="33" fillId="0" borderId="0"/>
    <xf numFmtId="0" fontId="33" fillId="42" borderId="103" applyNumberFormat="0" applyFont="0" applyAlignment="0" applyProtection="0"/>
    <xf numFmtId="0" fontId="52" fillId="29" borderId="104" applyNumberFormat="0" applyAlignment="0" applyProtection="0"/>
    <xf numFmtId="0" fontId="39" fillId="0" borderId="0"/>
    <xf numFmtId="204" fontId="3" fillId="0" borderId="0">
      <protection locked="0"/>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3" fillId="0" borderId="0" applyNumberFormat="0" applyFill="0" applyBorder="0" applyAlignment="0" applyProtection="0"/>
    <xf numFmtId="49" fontId="6" fillId="0" borderId="0">
      <alignment horizontal="center" vertical="center"/>
    </xf>
    <xf numFmtId="0" fontId="54" fillId="0" borderId="0" applyNumberFormat="0" applyFill="0" applyBorder="0" applyAlignment="0" applyProtection="0"/>
    <xf numFmtId="0" fontId="55" fillId="0" borderId="0" applyNumberFormat="0" applyFill="0" applyBorder="0" applyAlignment="0" applyProtection="0"/>
    <xf numFmtId="44" fontId="2" fillId="0" borderId="0" applyFont="0" applyFill="0" applyBorder="0" applyAlignment="0" applyProtection="0"/>
    <xf numFmtId="205" fontId="3" fillId="0" borderId="0" applyFont="0" applyFill="0" applyBorder="0" applyAlignment="0" applyProtection="0"/>
    <xf numFmtId="43" fontId="2" fillId="0" borderId="0" applyFont="0" applyFill="0" applyBorder="0" applyAlignment="0" applyProtection="0"/>
    <xf numFmtId="41" fontId="3" fillId="0" borderId="0" applyFont="0" applyFill="0" applyBorder="0" applyAlignment="0" applyProtection="0"/>
    <xf numFmtId="43" fontId="2" fillId="0" borderId="0" applyFont="0" applyFill="0" applyBorder="0" applyAlignment="0" applyProtection="0"/>
    <xf numFmtId="197" fontId="3" fillId="0" borderId="0" applyFont="0" applyFill="0" applyBorder="0" applyAlignment="0" applyProtection="0"/>
    <xf numFmtId="43" fontId="3"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207" fontId="3" fillId="0" borderId="0" applyFont="0" applyFill="0" applyBorder="0" applyAlignment="0" applyProtection="0"/>
    <xf numFmtId="0" fontId="33"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206" fontId="3" fillId="0" borderId="0" applyFont="0" applyFill="0" applyBorder="0" applyAlignment="0" applyProtection="0"/>
    <xf numFmtId="0" fontId="2" fillId="0" borderId="0"/>
    <xf numFmtId="0" fontId="2" fillId="0" borderId="0"/>
    <xf numFmtId="9" fontId="57" fillId="0" borderId="0" applyFont="0" applyFill="0" applyBorder="0" applyAlignment="0" applyProtection="0"/>
    <xf numFmtId="164" fontId="63" fillId="0" borderId="0" applyFont="0" applyFill="0" applyBorder="0" applyAlignment="0" applyProtection="0"/>
  </cellStyleXfs>
  <cellXfs count="468">
    <xf numFmtId="0" fontId="0" fillId="0" borderId="0" xfId="0"/>
    <xf numFmtId="0" fontId="4" fillId="0" borderId="0" xfId="0" applyFont="1" applyAlignment="1" applyProtection="1">
      <alignment horizontal="centerContinuous" vertical="center" wrapText="1"/>
      <protection hidden="1"/>
    </xf>
    <xf numFmtId="0" fontId="10" fillId="0" borderId="0" xfId="0" applyFont="1" applyProtection="1">
      <protection hidden="1"/>
    </xf>
    <xf numFmtId="0" fontId="10" fillId="0" borderId="0" xfId="0" applyFont="1" applyAlignment="1" applyProtection="1">
      <alignment horizontal="center" vertical="center"/>
      <protection hidden="1"/>
    </xf>
    <xf numFmtId="0" fontId="5" fillId="0" borderId="0" xfId="0" applyFont="1" applyAlignment="1" applyProtection="1">
      <alignment horizontal="centerContinuous" vertical="center" wrapText="1"/>
      <protection hidden="1"/>
    </xf>
    <xf numFmtId="0" fontId="6" fillId="0" borderId="0" xfId="0" applyFont="1" applyAlignment="1" applyProtection="1">
      <alignment horizontal="centerContinuous" vertical="center" wrapText="1"/>
      <protection hidden="1"/>
    </xf>
    <xf numFmtId="0" fontId="7" fillId="0" borderId="0" xfId="0" applyFont="1" applyAlignment="1" applyProtection="1">
      <alignment horizontal="centerContinuous" vertical="center" wrapText="1"/>
      <protection hidden="1"/>
    </xf>
    <xf numFmtId="0" fontId="10" fillId="0" borderId="0" xfId="0" applyFont="1" applyAlignment="1" applyProtection="1">
      <alignment horizontal="centerContinuous" vertical="center" wrapText="1"/>
      <protection hidden="1"/>
    </xf>
    <xf numFmtId="0" fontId="10" fillId="0" borderId="0" xfId="0" applyFont="1" applyAlignment="1" applyProtection="1">
      <protection hidden="1"/>
    </xf>
    <xf numFmtId="0" fontId="4" fillId="0" borderId="0" xfId="0" applyFont="1" applyAlignment="1" applyProtection="1">
      <alignment horizontal="left"/>
      <protection hidden="1"/>
    </xf>
    <xf numFmtId="0" fontId="10" fillId="0" borderId="0" xfId="0" applyFont="1" applyAlignment="1" applyProtection="1">
      <alignment horizontal="left" vertical="center"/>
      <protection hidden="1"/>
    </xf>
    <xf numFmtId="0" fontId="10" fillId="0" borderId="0" xfId="0" applyFont="1" applyFill="1" applyProtection="1">
      <protection hidden="1"/>
    </xf>
    <xf numFmtId="0" fontId="9" fillId="0" borderId="0" xfId="0" applyFont="1" applyProtection="1">
      <protection hidden="1"/>
    </xf>
    <xf numFmtId="0" fontId="17" fillId="0" borderId="0" xfId="0" applyFont="1" applyFill="1" applyAlignment="1" applyProtection="1">
      <alignment horizontal="centerContinuous" vertical="center" wrapText="1"/>
      <protection hidden="1"/>
    </xf>
    <xf numFmtId="0" fontId="13" fillId="0" borderId="0" xfId="0" applyFont="1" applyFill="1" applyAlignment="1" applyProtection="1">
      <alignment horizontal="centerContinuous" vertical="center" wrapText="1"/>
      <protection hidden="1"/>
    </xf>
    <xf numFmtId="0" fontId="14" fillId="0" borderId="0" xfId="0" applyFont="1" applyFill="1" applyProtection="1">
      <protection hidden="1"/>
    </xf>
    <xf numFmtId="0" fontId="9" fillId="0" borderId="0" xfId="0" applyFont="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Fill="1" applyAlignment="1" applyProtection="1">
      <protection hidden="1"/>
    </xf>
    <xf numFmtId="0" fontId="18"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wrapText="1"/>
      <protection hidden="1"/>
    </xf>
    <xf numFmtId="0" fontId="10" fillId="0" borderId="0" xfId="0" applyFont="1" applyFill="1" applyAlignment="1" applyProtection="1">
      <alignment horizontal="center"/>
      <protection hidden="1"/>
    </xf>
    <xf numFmtId="0" fontId="4" fillId="0" borderId="0" xfId="0" applyFont="1" applyFill="1" applyAlignment="1" applyProtection="1">
      <alignment horizontal="left"/>
      <protection hidden="1"/>
    </xf>
    <xf numFmtId="0" fontId="4"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protection hidden="1"/>
    </xf>
    <xf numFmtId="0" fontId="9" fillId="0" borderId="0" xfId="0" applyFont="1" applyFill="1" applyBorder="1" applyAlignment="1" applyProtection="1">
      <alignment horizontal="center"/>
      <protection hidden="1"/>
    </xf>
    <xf numFmtId="0" fontId="9" fillId="0" borderId="0" xfId="0" quotePrefix="1" applyFont="1" applyFill="1" applyBorder="1" applyAlignment="1" applyProtection="1">
      <alignment horizontal="center" vertical="center"/>
      <protection hidden="1"/>
    </xf>
    <xf numFmtId="0" fontId="9" fillId="0" borderId="0" xfId="0" applyFont="1" applyFill="1" applyBorder="1" applyAlignment="1" applyProtection="1">
      <alignment horizontal="centerContinuous" vertical="center"/>
      <protection hidden="1"/>
    </xf>
    <xf numFmtId="0" fontId="4" fillId="0" borderId="0" xfId="0" applyFont="1" applyFill="1" applyAlignment="1" applyProtection="1">
      <alignment horizontal="centerContinuous" vertical="center"/>
      <protection hidden="1"/>
    </xf>
    <xf numFmtId="0" fontId="9" fillId="0" borderId="0" xfId="0" applyFont="1" applyFill="1" applyProtection="1">
      <protection hidden="1"/>
    </xf>
    <xf numFmtId="0" fontId="10" fillId="0" borderId="0" xfId="0" applyFont="1" applyFill="1" applyAlignment="1" applyProtection="1">
      <alignment horizontal="left" vertical="center"/>
      <protection hidden="1"/>
    </xf>
    <xf numFmtId="1" fontId="20" fillId="0" borderId="0" xfId="0" applyNumberFormat="1" applyFont="1" applyFill="1" applyAlignment="1" applyProtection="1">
      <alignment horizontal="centerContinuous" vertical="center" wrapText="1"/>
      <protection hidden="1"/>
    </xf>
    <xf numFmtId="1" fontId="22" fillId="0" borderId="0" xfId="0" applyNumberFormat="1" applyFont="1" applyFill="1" applyAlignment="1" applyProtection="1">
      <alignment horizontal="centerContinuous" vertical="center" wrapText="1"/>
      <protection hidden="1"/>
    </xf>
    <xf numFmtId="0" fontId="19" fillId="0" borderId="0" xfId="0" applyFont="1" applyProtection="1">
      <protection hidden="1"/>
    </xf>
    <xf numFmtId="0" fontId="19" fillId="0" borderId="0" xfId="0" applyFont="1" applyAlignment="1" applyProtection="1">
      <protection hidden="1"/>
    </xf>
    <xf numFmtId="0" fontId="19" fillId="0" borderId="0" xfId="0" applyFont="1" applyFill="1" applyAlignment="1" applyProtection="1">
      <protection hidden="1"/>
    </xf>
    <xf numFmtId="0" fontId="19" fillId="0" borderId="0" xfId="0" quotePrefix="1" applyFont="1" applyFill="1" applyAlignment="1" applyProtection="1">
      <alignment vertical="center"/>
      <protection hidden="1"/>
    </xf>
    <xf numFmtId="0" fontId="19" fillId="0" borderId="0" xfId="0" applyFont="1" applyFill="1" applyAlignment="1" applyProtection="1">
      <alignment horizontal="center"/>
      <protection hidden="1"/>
    </xf>
    <xf numFmtId="0" fontId="20" fillId="0" borderId="0" xfId="0" applyFont="1" applyAlignment="1" applyProtection="1">
      <alignment horizontal="centerContinuous" vertical="center" wrapText="1"/>
      <protection locked="0"/>
    </xf>
    <xf numFmtId="0" fontId="3" fillId="0" borderId="0" xfId="0" applyFont="1" applyFill="1" applyProtection="1">
      <protection hidden="1"/>
    </xf>
    <xf numFmtId="0" fontId="3" fillId="0" borderId="0" xfId="0" applyFont="1" applyProtection="1">
      <protection hidden="1"/>
    </xf>
    <xf numFmtId="0" fontId="3" fillId="2" borderId="0" xfId="12" applyFont="1" applyFill="1" applyAlignment="1">
      <alignment horizontal="left" vertical="top" wrapText="1"/>
    </xf>
    <xf numFmtId="0" fontId="3" fillId="2" borderId="0" xfId="12" applyFont="1" applyFill="1" applyAlignment="1">
      <alignment wrapText="1"/>
    </xf>
    <xf numFmtId="0" fontId="3" fillId="2" borderId="0" xfId="12" applyFont="1" applyFill="1"/>
    <xf numFmtId="0" fontId="5" fillId="2" borderId="0" xfId="12" applyFont="1" applyFill="1" applyAlignment="1">
      <alignment horizontal="centerContinuous" vertical="center" wrapText="1"/>
    </xf>
    <xf numFmtId="0" fontId="3" fillId="2" borderId="0" xfId="12" applyFont="1" applyFill="1" applyAlignment="1">
      <alignment horizontal="center" vertical="center"/>
    </xf>
    <xf numFmtId="10" fontId="3" fillId="2" borderId="0" xfId="12" applyNumberFormat="1" applyFont="1" applyFill="1"/>
    <xf numFmtId="0" fontId="8" fillId="2" borderId="3" xfId="12" applyFont="1" applyFill="1" applyBorder="1" applyAlignment="1">
      <alignment horizontal="center" vertical="center"/>
    </xf>
    <xf numFmtId="1" fontId="16" fillId="0" borderId="0" xfId="12" applyNumberFormat="1" applyFont="1" applyAlignment="1">
      <alignment horizontal="centerContinuous" vertical="center" wrapText="1"/>
    </xf>
    <xf numFmtId="1" fontId="6" fillId="0" borderId="0" xfId="12" applyNumberFormat="1" applyFont="1" applyAlignment="1">
      <alignment horizontal="centerContinuous" vertical="center" wrapText="1"/>
    </xf>
    <xf numFmtId="0" fontId="6" fillId="0" borderId="0" xfId="12" applyFont="1" applyAlignment="1">
      <alignment horizontal="centerContinuous" vertical="center"/>
    </xf>
    <xf numFmtId="0" fontId="8" fillId="0" borderId="4" xfId="0" applyFont="1" applyBorder="1" applyAlignment="1" applyProtection="1">
      <alignment horizontal="centerContinuous"/>
      <protection hidden="1"/>
    </xf>
    <xf numFmtId="0" fontId="8" fillId="0" borderId="5" xfId="0" applyFont="1" applyBorder="1" applyAlignment="1" applyProtection="1">
      <alignment horizontal="center" vertical="center"/>
      <protection hidden="1"/>
    </xf>
    <xf numFmtId="0" fontId="6" fillId="0" borderId="6" xfId="11" applyFont="1" applyBorder="1" applyAlignment="1" applyProtection="1">
      <alignment horizontal="center"/>
      <protection hidden="1"/>
    </xf>
    <xf numFmtId="0" fontId="6" fillId="0" borderId="7" xfId="11" applyFont="1" applyBorder="1" applyAlignment="1" applyProtection="1">
      <alignment horizontal="center"/>
      <protection hidden="1"/>
    </xf>
    <xf numFmtId="0" fontId="6" fillId="0" borderId="8" xfId="11" applyFont="1" applyBorder="1" applyAlignment="1" applyProtection="1">
      <alignment horizontal="center"/>
      <protection hidden="1"/>
    </xf>
    <xf numFmtId="0" fontId="10" fillId="0" borderId="9"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10" fillId="0" borderId="12"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25" fillId="5" borderId="15" xfId="11" applyFont="1" applyFill="1" applyBorder="1"/>
    <xf numFmtId="0" fontId="25" fillId="5" borderId="16" xfId="11" applyFont="1" applyFill="1" applyBorder="1"/>
    <xf numFmtId="0" fontId="3" fillId="0" borderId="17" xfId="11" applyBorder="1"/>
    <xf numFmtId="0" fontId="25" fillId="5" borderId="18" xfId="11" applyFont="1" applyFill="1" applyBorder="1"/>
    <xf numFmtId="0" fontId="3" fillId="0" borderId="19" xfId="11" applyBorder="1"/>
    <xf numFmtId="0" fontId="25" fillId="5" borderId="20" xfId="11" applyFont="1" applyFill="1" applyBorder="1"/>
    <xf numFmtId="0" fontId="3" fillId="0" borderId="21" xfId="11" applyBorder="1"/>
    <xf numFmtId="0" fontId="3" fillId="0" borderId="21" xfId="11" applyFont="1" applyBorder="1"/>
    <xf numFmtId="0" fontId="3" fillId="0" borderId="22" xfId="11" applyFont="1" applyFill="1" applyBorder="1"/>
    <xf numFmtId="0" fontId="10" fillId="0" borderId="23" xfId="0" applyFont="1" applyBorder="1" applyAlignment="1" applyProtection="1">
      <alignment horizontal="center"/>
      <protection hidden="1"/>
    </xf>
    <xf numFmtId="0" fontId="10" fillId="0" borderId="24" xfId="0" applyFont="1" applyBorder="1" applyAlignment="1" applyProtection="1">
      <alignment horizontal="center"/>
      <protection hidden="1"/>
    </xf>
    <xf numFmtId="0" fontId="6" fillId="0" borderId="0" xfId="0" applyFont="1" applyFill="1" applyAlignment="1" applyProtection="1">
      <alignment horizontal="center" vertical="center"/>
      <protection hidden="1"/>
    </xf>
    <xf numFmtId="0" fontId="3" fillId="0" borderId="26" xfId="11" applyFont="1" applyFill="1" applyBorder="1"/>
    <xf numFmtId="0" fontId="3" fillId="0" borderId="27" xfId="11" applyFont="1" applyFill="1" applyBorder="1"/>
    <xf numFmtId="0" fontId="3" fillId="0" borderId="28" xfId="11" applyFont="1" applyFill="1" applyBorder="1"/>
    <xf numFmtId="0" fontId="8" fillId="0" borderId="5" xfId="0" applyFont="1" applyBorder="1" applyAlignment="1" applyProtection="1">
      <alignment horizontal="centerContinuous"/>
      <protection hidden="1"/>
    </xf>
    <xf numFmtId="0" fontId="6" fillId="0" borderId="31" xfId="11" applyFont="1" applyBorder="1" applyAlignment="1" applyProtection="1">
      <alignment horizontal="center"/>
      <protection hidden="1"/>
    </xf>
    <xf numFmtId="169" fontId="15" fillId="0" borderId="42" xfId="9" applyNumberFormat="1" applyFont="1" applyFill="1" applyBorder="1" applyAlignment="1" applyProtection="1">
      <alignment vertical="center"/>
      <protection locked="0"/>
    </xf>
    <xf numFmtId="0" fontId="15" fillId="9" borderId="45" xfId="0" applyFont="1" applyFill="1" applyBorder="1" applyAlignment="1" applyProtection="1">
      <alignment horizontal="centerContinuous" vertical="center"/>
      <protection locked="0"/>
    </xf>
    <xf numFmtId="3" fontId="12" fillId="9" borderId="44" xfId="0" applyNumberFormat="1" applyFont="1" applyFill="1" applyBorder="1" applyAlignment="1" applyProtection="1">
      <alignment horizontal="centerContinuous" vertical="center"/>
      <protection locked="0"/>
    </xf>
    <xf numFmtId="0" fontId="8" fillId="2" borderId="0" xfId="12" applyFont="1" applyFill="1" applyBorder="1" applyAlignment="1">
      <alignment vertical="center"/>
    </xf>
    <xf numFmtId="176" fontId="15" fillId="2" borderId="0" xfId="7" applyNumberFormat="1" applyFont="1" applyFill="1" applyBorder="1" applyAlignment="1"/>
    <xf numFmtId="10" fontId="6" fillId="2" borderId="36" xfId="12" applyNumberFormat="1" applyFont="1" applyFill="1" applyBorder="1" applyAlignment="1">
      <alignment horizontal="center" vertical="center" wrapText="1"/>
    </xf>
    <xf numFmtId="10" fontId="6" fillId="2" borderId="60" xfId="12" applyNumberFormat="1" applyFont="1" applyFill="1" applyBorder="1" applyAlignment="1">
      <alignment horizontal="center" vertical="center" wrapText="1"/>
    </xf>
    <xf numFmtId="0" fontId="6" fillId="0" borderId="53" xfId="12" applyFont="1" applyBorder="1" applyAlignment="1">
      <alignment horizontal="left" vertical="center"/>
    </xf>
    <xf numFmtId="0" fontId="6" fillId="0" borderId="54" xfId="12" applyFont="1" applyBorder="1" applyAlignment="1">
      <alignment horizontal="centerContinuous" vertical="center"/>
    </xf>
    <xf numFmtId="0" fontId="6" fillId="2" borderId="54" xfId="12" applyFont="1" applyFill="1" applyBorder="1" applyAlignment="1">
      <alignment horizontal="centerContinuous" vertical="center" wrapText="1"/>
    </xf>
    <xf numFmtId="0" fontId="3" fillId="2" borderId="53" xfId="12" applyFont="1" applyFill="1" applyBorder="1"/>
    <xf numFmtId="0" fontId="6" fillId="0" borderId="56" xfId="12" applyFont="1" applyBorder="1" applyAlignment="1">
      <alignment horizontal="centerContinuous" vertical="center"/>
    </xf>
    <xf numFmtId="0" fontId="6" fillId="0" borderId="57" xfId="12" applyFont="1" applyBorder="1" applyAlignment="1">
      <alignment horizontal="centerContinuous" vertical="center"/>
    </xf>
    <xf numFmtId="0" fontId="6" fillId="2" borderId="57" xfId="12" applyFont="1" applyFill="1" applyBorder="1" applyAlignment="1">
      <alignment horizontal="centerContinuous" vertical="center" wrapText="1"/>
    </xf>
    <xf numFmtId="0" fontId="3" fillId="2" borderId="54" xfId="12" applyFont="1" applyFill="1" applyBorder="1"/>
    <xf numFmtId="0" fontId="3" fillId="0" borderId="54" xfId="12" applyFont="1" applyFill="1" applyBorder="1"/>
    <xf numFmtId="0" fontId="3" fillId="2" borderId="57" xfId="12" applyFont="1" applyFill="1" applyBorder="1"/>
    <xf numFmtId="0" fontId="3" fillId="0" borderId="57" xfId="12" applyFont="1" applyFill="1" applyBorder="1"/>
    <xf numFmtId="0" fontId="6" fillId="0" borderId="54" xfId="12" applyFont="1" applyFill="1" applyBorder="1" applyAlignment="1">
      <alignment horizontal="right" vertical="center"/>
    </xf>
    <xf numFmtId="0" fontId="6" fillId="0" borderId="53" xfId="12" applyFont="1" applyFill="1" applyBorder="1" applyAlignment="1">
      <alignment horizontal="left" vertical="center"/>
    </xf>
    <xf numFmtId="0" fontId="6" fillId="0" borderId="54" xfId="12" applyFont="1" applyFill="1" applyBorder="1" applyAlignment="1">
      <alignment vertical="center"/>
    </xf>
    <xf numFmtId="0" fontId="6" fillId="0" borderId="53" xfId="12" applyFont="1" applyFill="1" applyBorder="1" applyAlignment="1">
      <alignment horizontal="center" vertical="center" wrapText="1"/>
    </xf>
    <xf numFmtId="0" fontId="6" fillId="0" borderId="54" xfId="12" applyFont="1" applyFill="1" applyBorder="1" applyAlignment="1">
      <alignment horizontal="center" vertical="center" wrapText="1"/>
    </xf>
    <xf numFmtId="0" fontId="6" fillId="0" borderId="56" xfId="12" applyFont="1" applyFill="1" applyBorder="1" applyAlignment="1">
      <alignment horizontal="center" vertical="center" wrapText="1"/>
    </xf>
    <xf numFmtId="0" fontId="6" fillId="0" borderId="57" xfId="12" applyFont="1" applyFill="1" applyBorder="1" applyAlignment="1">
      <alignment horizontal="center" vertical="center" wrapText="1"/>
    </xf>
    <xf numFmtId="0" fontId="6" fillId="0" borderId="57" xfId="12" applyFont="1" applyFill="1" applyBorder="1" applyAlignment="1">
      <alignment horizontal="right" vertical="center"/>
    </xf>
    <xf numFmtId="174" fontId="6" fillId="0" borderId="49" xfId="6" applyNumberFormat="1" applyFont="1" applyFill="1" applyBorder="1" applyAlignment="1" applyProtection="1">
      <alignment vertical="center"/>
      <protection locked="0"/>
    </xf>
    <xf numFmtId="43" fontId="6" fillId="0" borderId="61" xfId="6" applyNumberFormat="1" applyFont="1" applyFill="1" applyBorder="1" applyAlignment="1" applyProtection="1">
      <alignment vertical="center"/>
      <protection locked="0"/>
    </xf>
    <xf numFmtId="176" fontId="6" fillId="2" borderId="55" xfId="7" applyNumberFormat="1" applyFont="1" applyFill="1" applyBorder="1" applyAlignment="1"/>
    <xf numFmtId="176" fontId="6" fillId="2" borderId="49" xfId="7" applyNumberFormat="1" applyFont="1" applyFill="1" applyBorder="1" applyAlignment="1"/>
    <xf numFmtId="177" fontId="6" fillId="2" borderId="55" xfId="7" applyNumberFormat="1" applyFont="1" applyFill="1" applyBorder="1" applyAlignment="1"/>
    <xf numFmtId="176" fontId="6" fillId="2" borderId="58" xfId="7" applyNumberFormat="1" applyFont="1" applyFill="1" applyBorder="1" applyAlignment="1"/>
    <xf numFmtId="1" fontId="8" fillId="2" borderId="34" xfId="12" applyNumberFormat="1" applyFont="1" applyFill="1" applyBorder="1" applyAlignment="1">
      <alignment horizontal="left" vertical="center" wrapText="1"/>
    </xf>
    <xf numFmtId="0" fontId="6" fillId="0" borderId="55" xfId="0" applyFont="1" applyBorder="1" applyAlignment="1">
      <alignment horizontal="center" vertical="center"/>
    </xf>
    <xf numFmtId="0" fontId="6" fillId="2" borderId="55" xfId="12" applyFont="1" applyFill="1" applyBorder="1" applyAlignment="1">
      <alignment horizontal="center"/>
    </xf>
    <xf numFmtId="10" fontId="6" fillId="2" borderId="55" xfId="12" applyNumberFormat="1" applyFont="1" applyFill="1" applyBorder="1" applyAlignment="1">
      <alignment horizontal="center" vertical="center" wrapText="1"/>
    </xf>
    <xf numFmtId="10" fontId="6" fillId="2" borderId="58" xfId="12" applyNumberFormat="1" applyFont="1" applyFill="1" applyBorder="1" applyAlignment="1">
      <alignment horizontal="center" vertical="center" wrapText="1"/>
    </xf>
    <xf numFmtId="0" fontId="8" fillId="2" borderId="5" xfId="12" applyFont="1" applyFill="1" applyBorder="1" applyAlignment="1">
      <alignment horizontal="center" vertical="center" wrapText="1"/>
    </xf>
    <xf numFmtId="4" fontId="8" fillId="2" borderId="3" xfId="12" applyNumberFormat="1" applyFont="1" applyFill="1" applyBorder="1" applyAlignment="1">
      <alignment horizontal="center" vertical="center"/>
    </xf>
    <xf numFmtId="1" fontId="6" fillId="2" borderId="55" xfId="12" applyNumberFormat="1" applyFont="1" applyFill="1" applyBorder="1" applyAlignment="1">
      <alignment horizontal="center" vertical="center" wrapText="1"/>
    </xf>
    <xf numFmtId="0" fontId="6" fillId="0" borderId="54" xfId="12" applyFont="1" applyBorder="1" applyAlignment="1">
      <alignment horizontal="right" vertical="center"/>
    </xf>
    <xf numFmtId="167" fontId="6" fillId="0" borderId="65" xfId="3" applyFont="1" applyFill="1" applyBorder="1" applyAlignment="1" applyProtection="1">
      <alignment horizontal="center" vertical="center" wrapText="1"/>
    </xf>
    <xf numFmtId="178" fontId="6" fillId="2" borderId="65" xfId="3" applyNumberFormat="1" applyFont="1" applyFill="1" applyBorder="1" applyAlignment="1" applyProtection="1">
      <alignment horizontal="center" vertical="center" wrapText="1"/>
    </xf>
    <xf numFmtId="0" fontId="6" fillId="2" borderId="0" xfId="12" applyFont="1" applyFill="1" applyBorder="1" applyAlignment="1">
      <alignment horizontal="right" vertical="center"/>
    </xf>
    <xf numFmtId="176" fontId="6" fillId="2" borderId="0" xfId="7" applyNumberFormat="1" applyFont="1" applyFill="1" applyBorder="1" applyAlignment="1"/>
    <xf numFmtId="0" fontId="10" fillId="0" borderId="0" xfId="0" applyFont="1" applyBorder="1" applyAlignment="1" applyProtection="1">
      <alignment horizontal="centerContinuous" vertical="center" wrapText="1"/>
      <protection hidden="1"/>
    </xf>
    <xf numFmtId="0" fontId="10" fillId="0" borderId="0" xfId="0" applyFont="1" applyBorder="1" applyAlignment="1" applyProtection="1">
      <alignment horizontal="center" vertical="center" wrapText="1"/>
      <protection hidden="1"/>
    </xf>
    <xf numFmtId="0" fontId="9" fillId="0" borderId="0" xfId="0" applyFont="1" applyBorder="1" applyProtection="1">
      <protection hidden="1"/>
    </xf>
    <xf numFmtId="0" fontId="8" fillId="0" borderId="0" xfId="0" applyFont="1" applyBorder="1" applyAlignment="1" applyProtection="1">
      <alignment horizontal="centerContinuous" vertical="center" wrapText="1"/>
      <protection hidden="1"/>
    </xf>
    <xf numFmtId="4" fontId="9" fillId="0" borderId="0" xfId="0" applyNumberFormat="1" applyFont="1" applyBorder="1" applyProtection="1">
      <protection hidden="1"/>
    </xf>
    <xf numFmtId="3" fontId="9" fillId="0" borderId="0" xfId="0" applyNumberFormat="1" applyFont="1" applyFill="1" applyBorder="1" applyProtection="1">
      <protection hidden="1"/>
    </xf>
    <xf numFmtId="4" fontId="8" fillId="0" borderId="0" xfId="0" applyNumberFormat="1" applyFont="1" applyFill="1" applyBorder="1" applyProtection="1">
      <protection hidden="1"/>
    </xf>
    <xf numFmtId="3" fontId="9" fillId="0" borderId="0" xfId="0" applyNumberFormat="1" applyFont="1" applyFill="1" applyBorder="1" applyAlignment="1" applyProtection="1">
      <alignment horizontal="right"/>
      <protection hidden="1"/>
    </xf>
    <xf numFmtId="0" fontId="8" fillId="2" borderId="0" xfId="0" applyFont="1" applyFill="1" applyBorder="1" applyAlignment="1" applyProtection="1">
      <alignment horizontal="center"/>
      <protection hidden="1"/>
    </xf>
    <xf numFmtId="0" fontId="11" fillId="2" borderId="0" xfId="0" applyFont="1" applyFill="1" applyBorder="1" applyAlignment="1" applyProtection="1">
      <alignment horizontal="center" vertical="center"/>
      <protection hidden="1"/>
    </xf>
    <xf numFmtId="168" fontId="8" fillId="0" borderId="0" xfId="0" applyNumberFormat="1" applyFont="1" applyFill="1" applyBorder="1" applyProtection="1">
      <protection hidden="1"/>
    </xf>
    <xf numFmtId="0" fontId="8" fillId="0" borderId="0" xfId="0" applyFont="1" applyFill="1" applyBorder="1" applyAlignment="1" applyProtection="1">
      <alignment horizontal="center" vertical="center"/>
      <protection hidden="1"/>
    </xf>
    <xf numFmtId="0" fontId="8" fillId="2" borderId="9" xfId="0" applyFont="1" applyFill="1" applyBorder="1" applyAlignment="1" applyProtection="1">
      <alignment horizontal="center"/>
      <protection hidden="1"/>
    </xf>
    <xf numFmtId="0" fontId="8" fillId="0" borderId="10" xfId="0" applyFont="1" applyFill="1" applyBorder="1" applyAlignment="1" applyProtection="1">
      <alignment horizontal="center" vertical="center"/>
      <protection hidden="1"/>
    </xf>
    <xf numFmtId="1" fontId="9" fillId="0" borderId="11" xfId="0" applyNumberFormat="1" applyFont="1" applyBorder="1" applyAlignment="1" applyProtection="1">
      <alignment horizontal="center" vertical="center"/>
      <protection hidden="1"/>
    </xf>
    <xf numFmtId="1" fontId="9" fillId="0" borderId="12" xfId="0" applyNumberFormat="1" applyFont="1" applyBorder="1" applyAlignment="1" applyProtection="1">
      <alignment horizontal="center" vertical="center"/>
      <protection hidden="1"/>
    </xf>
    <xf numFmtId="0" fontId="9" fillId="0" borderId="12" xfId="0" applyFont="1" applyBorder="1" applyAlignment="1" applyProtection="1">
      <alignment horizontal="centerContinuous" vertical="center" wrapText="1"/>
      <protection hidden="1"/>
    </xf>
    <xf numFmtId="4" fontId="9" fillId="0" borderId="12" xfId="0" applyNumberFormat="1" applyFont="1" applyBorder="1" applyProtection="1">
      <protection hidden="1"/>
    </xf>
    <xf numFmtId="3" fontId="9" fillId="0" borderId="12" xfId="0" applyNumberFormat="1" applyFont="1" applyFill="1" applyBorder="1" applyProtection="1">
      <protection hidden="1"/>
    </xf>
    <xf numFmtId="3" fontId="9" fillId="0" borderId="2" xfId="0" applyNumberFormat="1" applyFont="1" applyFill="1" applyBorder="1" applyAlignment="1" applyProtection="1">
      <alignment horizontal="right"/>
      <protection hidden="1"/>
    </xf>
    <xf numFmtId="1" fontId="8" fillId="0" borderId="33" xfId="0" applyNumberFormat="1" applyFont="1" applyBorder="1" applyAlignment="1" applyProtection="1">
      <alignment horizontal="center" vertical="center"/>
      <protection hidden="1"/>
    </xf>
    <xf numFmtId="1" fontId="8" fillId="0" borderId="34" xfId="0" applyNumberFormat="1" applyFont="1" applyBorder="1" applyAlignment="1" applyProtection="1">
      <alignment horizontal="center" vertical="center"/>
      <protection hidden="1"/>
    </xf>
    <xf numFmtId="3" fontId="8" fillId="0" borderId="34" xfId="0" applyNumberFormat="1" applyFont="1" applyBorder="1" applyAlignment="1" applyProtection="1">
      <alignment horizontal="center" vertical="center"/>
      <protection hidden="1"/>
    </xf>
    <xf numFmtId="4" fontId="24" fillId="0" borderId="34" xfId="0" applyNumberFormat="1" applyFont="1" applyBorder="1" applyAlignment="1" applyProtection="1">
      <alignment horizontal="center" vertical="center"/>
      <protection locked="0"/>
    </xf>
    <xf numFmtId="175" fontId="8" fillId="0" borderId="69" xfId="0" applyNumberFormat="1" applyFont="1" applyBorder="1" applyAlignment="1" applyProtection="1">
      <alignment horizontal="center" vertical="center"/>
      <protection hidden="1"/>
    </xf>
    <xf numFmtId="2" fontId="9" fillId="0" borderId="2" xfId="0" applyNumberFormat="1" applyFont="1" applyFill="1" applyBorder="1" applyProtection="1">
      <protection hidden="1"/>
    </xf>
    <xf numFmtId="0" fontId="6" fillId="0" borderId="0" xfId="0" applyFont="1" applyBorder="1" applyAlignment="1" applyProtection="1">
      <alignment horizontal="center"/>
      <protection hidden="1"/>
    </xf>
    <xf numFmtId="0" fontId="6" fillId="0" borderId="9" xfId="0" applyFont="1" applyBorder="1" applyAlignment="1" applyProtection="1">
      <alignment horizontal="center"/>
      <protection hidden="1"/>
    </xf>
    <xf numFmtId="0" fontId="6" fillId="0" borderId="10" xfId="0" applyFont="1" applyBorder="1" applyAlignment="1" applyProtection="1">
      <alignment horizontal="center"/>
      <protection hidden="1"/>
    </xf>
    <xf numFmtId="0" fontId="19" fillId="0" borderId="11" xfId="0" applyFont="1" applyBorder="1" applyAlignment="1" applyProtection="1">
      <alignment horizontal="center" vertical="center"/>
      <protection hidden="1"/>
    </xf>
    <xf numFmtId="0" fontId="19" fillId="0" borderId="12" xfId="0" applyFont="1" applyBorder="1" applyProtection="1">
      <protection hidden="1"/>
    </xf>
    <xf numFmtId="0" fontId="19" fillId="0" borderId="2" xfId="0" applyFont="1" applyBorder="1" applyProtection="1">
      <protection hidden="1"/>
    </xf>
    <xf numFmtId="171" fontId="4" fillId="0" borderId="33" xfId="0" applyNumberFormat="1" applyFont="1" applyFill="1" applyBorder="1" applyAlignment="1" applyProtection="1">
      <alignment horizontal="center" vertical="center"/>
      <protection hidden="1"/>
    </xf>
    <xf numFmtId="0" fontId="4" fillId="0" borderId="34" xfId="0" applyFont="1" applyFill="1" applyBorder="1" applyAlignment="1" applyProtection="1">
      <alignment horizontal="left" vertical="center" wrapText="1"/>
      <protection hidden="1"/>
    </xf>
    <xf numFmtId="0" fontId="0" fillId="0" borderId="0" xfId="0" applyAlignment="1">
      <alignment wrapText="1"/>
    </xf>
    <xf numFmtId="177" fontId="0" fillId="0" borderId="0" xfId="0" applyNumberFormat="1"/>
    <xf numFmtId="176" fontId="0" fillId="0" borderId="0" xfId="7" applyNumberFormat="1" applyFont="1"/>
    <xf numFmtId="0" fontId="7" fillId="0" borderId="34" xfId="0" applyFont="1" applyBorder="1" applyAlignment="1" applyProtection="1">
      <alignment horizontal="center" vertical="center"/>
      <protection hidden="1"/>
    </xf>
    <xf numFmtId="3" fontId="6" fillId="6" borderId="29" xfId="11" applyNumberFormat="1" applyFont="1" applyFill="1" applyBorder="1" applyAlignment="1" applyProtection="1">
      <alignment horizontal="right"/>
      <protection hidden="1"/>
    </xf>
    <xf numFmtId="3" fontId="6" fillId="8" borderId="36" xfId="11" applyNumberFormat="1" applyFont="1" applyFill="1" applyBorder="1" applyAlignment="1" applyProtection="1">
      <alignment horizontal="right"/>
      <protection hidden="1"/>
    </xf>
    <xf numFmtId="3" fontId="6" fillId="7" borderId="30" xfId="11" applyNumberFormat="1" applyFont="1" applyFill="1" applyBorder="1" applyAlignment="1" applyProtection="1">
      <alignment horizontal="right"/>
      <protection hidden="1"/>
    </xf>
    <xf numFmtId="0" fontId="6" fillId="10" borderId="47" xfId="0" applyFont="1" applyFill="1" applyBorder="1" applyAlignment="1" applyProtection="1">
      <alignment horizontal="centerContinuous" vertical="center" wrapText="1"/>
      <protection locked="0"/>
    </xf>
    <xf numFmtId="0" fontId="6" fillId="10" borderId="5" xfId="0" applyFont="1" applyFill="1" applyBorder="1" applyAlignment="1" applyProtection="1">
      <alignment horizontal="centerContinuous" vertical="center" wrapText="1"/>
      <protection locked="0"/>
    </xf>
    <xf numFmtId="0" fontId="3" fillId="0" borderId="48"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left" vertical="center" wrapText="1"/>
      <protection locked="0"/>
    </xf>
    <xf numFmtId="4" fontId="3" fillId="0" borderId="49" xfId="7" applyNumberFormat="1" applyFont="1" applyFill="1" applyBorder="1" applyAlignment="1" applyProtection="1">
      <alignment vertical="center"/>
      <protection locked="0"/>
    </xf>
    <xf numFmtId="169" fontId="3" fillId="0" borderId="34" xfId="0" applyNumberFormat="1" applyFont="1" applyFill="1" applyBorder="1" applyAlignment="1" applyProtection="1">
      <alignment horizontal="right" vertical="center"/>
      <protection locked="0"/>
    </xf>
    <xf numFmtId="3" fontId="3" fillId="0" borderId="49" xfId="7" applyNumberFormat="1" applyFont="1" applyFill="1" applyBorder="1" applyAlignment="1" applyProtection="1">
      <alignment horizontal="center" vertical="center"/>
      <protection locked="0"/>
    </xf>
    <xf numFmtId="3" fontId="3" fillId="0" borderId="40" xfId="0" applyNumberFormat="1" applyFont="1" applyFill="1" applyBorder="1" applyAlignment="1" applyProtection="1">
      <alignment horizontal="centerContinuous" vertical="center"/>
      <protection locked="0"/>
    </xf>
    <xf numFmtId="0" fontId="3" fillId="0" borderId="39" xfId="0" applyFont="1" applyBorder="1" applyAlignment="1" applyProtection="1">
      <alignment horizontal="center"/>
      <protection hidden="1"/>
    </xf>
    <xf numFmtId="3" fontId="3" fillId="0" borderId="39" xfId="7" applyNumberFormat="1" applyFont="1" applyFill="1" applyBorder="1" applyAlignment="1" applyProtection="1">
      <alignment horizontal="center" vertical="center"/>
      <protection locked="0"/>
    </xf>
    <xf numFmtId="3" fontId="3" fillId="0" borderId="39" xfId="0" applyNumberFormat="1" applyFont="1" applyFill="1" applyBorder="1" applyAlignment="1" applyProtection="1">
      <alignment horizontal="center" vertical="center"/>
      <protection locked="0"/>
    </xf>
    <xf numFmtId="0" fontId="12" fillId="9" borderId="44" xfId="0" applyFont="1" applyFill="1" applyBorder="1" applyAlignment="1" applyProtection="1">
      <alignment horizontal="centerContinuous"/>
      <protection locked="0"/>
    </xf>
    <xf numFmtId="0" fontId="12" fillId="9" borderId="46" xfId="0" applyFont="1" applyFill="1" applyBorder="1" applyAlignment="1" applyProtection="1">
      <alignment horizontal="centerContinuous"/>
      <protection hidden="1"/>
    </xf>
    <xf numFmtId="0" fontId="12" fillId="0" borderId="40" xfId="0" applyFont="1" applyFill="1" applyBorder="1" applyProtection="1">
      <protection hidden="1"/>
    </xf>
    <xf numFmtId="169" fontId="15" fillId="0" borderId="41" xfId="9" applyNumberFormat="1" applyFont="1" applyFill="1" applyBorder="1" applyAlignment="1" applyProtection="1">
      <alignment horizontal="center" vertical="center"/>
      <protection hidden="1"/>
    </xf>
    <xf numFmtId="1" fontId="6" fillId="2" borderId="62" xfId="12" applyNumberFormat="1" applyFont="1" applyFill="1" applyBorder="1" applyAlignment="1">
      <alignment horizontal="center" vertical="center" wrapText="1"/>
    </xf>
    <xf numFmtId="1" fontId="6" fillId="2" borderId="63" xfId="12" applyNumberFormat="1" applyFont="1" applyFill="1" applyBorder="1" applyAlignment="1">
      <alignment horizontal="center" vertical="center" wrapText="1"/>
    </xf>
    <xf numFmtId="1" fontId="6" fillId="2" borderId="63" xfId="12" applyNumberFormat="1" applyFont="1" applyFill="1" applyBorder="1" applyAlignment="1">
      <alignment horizontal="left" vertical="center" wrapText="1"/>
    </xf>
    <xf numFmtId="3" fontId="6" fillId="0" borderId="63" xfId="12" applyNumberFormat="1" applyFont="1" applyFill="1" applyBorder="1" applyAlignment="1">
      <alignment horizontal="center" vertical="center" wrapText="1"/>
    </xf>
    <xf numFmtId="181" fontId="6" fillId="0" borderId="63" xfId="12" applyNumberFormat="1" applyFont="1" applyFill="1" applyBorder="1" applyAlignment="1">
      <alignment horizontal="center" vertical="center" wrapText="1"/>
    </xf>
    <xf numFmtId="1" fontId="6" fillId="2" borderId="48" xfId="12" applyNumberFormat="1" applyFont="1" applyFill="1" applyBorder="1" applyAlignment="1">
      <alignment horizontal="center" vertical="center" wrapText="1"/>
    </xf>
    <xf numFmtId="1" fontId="6" fillId="2" borderId="34" xfId="12" applyNumberFormat="1" applyFont="1" applyFill="1" applyBorder="1" applyAlignment="1">
      <alignment horizontal="center" vertical="center" wrapText="1"/>
    </xf>
    <xf numFmtId="1" fontId="6" fillId="2" borderId="34" xfId="12" applyNumberFormat="1" applyFont="1" applyFill="1" applyBorder="1" applyAlignment="1">
      <alignment horizontal="left" vertical="center" wrapText="1"/>
    </xf>
    <xf numFmtId="3" fontId="6" fillId="0" borderId="34" xfId="12" applyNumberFormat="1" applyFont="1" applyFill="1" applyBorder="1" applyAlignment="1">
      <alignment horizontal="center" vertical="center" wrapText="1"/>
    </xf>
    <xf numFmtId="181" fontId="6" fillId="0" borderId="34" xfId="12" applyNumberFormat="1" applyFont="1" applyFill="1" applyBorder="1" applyAlignment="1">
      <alignment horizontal="center" vertical="center" wrapText="1"/>
    </xf>
    <xf numFmtId="0" fontId="32" fillId="0" borderId="0" xfId="0" applyFont="1" applyAlignment="1" applyProtection="1">
      <alignment horizontal="center" vertical="center"/>
      <protection hidden="1"/>
    </xf>
    <xf numFmtId="1" fontId="10" fillId="0" borderId="0" xfId="0" applyNumberFormat="1" applyFont="1" applyProtection="1">
      <protection hidden="1"/>
    </xf>
    <xf numFmtId="0" fontId="4" fillId="0" borderId="106" xfId="0" applyFont="1" applyFill="1" applyBorder="1" applyAlignment="1" applyProtection="1">
      <alignment horizontal="center" vertical="center" wrapText="1"/>
      <protection hidden="1"/>
    </xf>
    <xf numFmtId="176" fontId="6" fillId="10" borderId="38" xfId="7" applyNumberFormat="1" applyFont="1" applyFill="1" applyBorder="1" applyAlignment="1" applyProtection="1">
      <alignment vertical="center" wrapText="1"/>
      <protection locked="0"/>
    </xf>
    <xf numFmtId="0" fontId="6" fillId="10" borderId="62" xfId="0" applyFont="1" applyFill="1" applyBorder="1" applyAlignment="1" applyProtection="1">
      <alignment horizontal="centerContinuous" vertical="center" wrapText="1"/>
      <protection locked="0"/>
    </xf>
    <xf numFmtId="176" fontId="6" fillId="10" borderId="63" xfId="7" applyNumberFormat="1" applyFont="1" applyFill="1" applyBorder="1" applyAlignment="1" applyProtection="1">
      <alignment vertical="center" wrapText="1"/>
      <protection locked="0"/>
    </xf>
    <xf numFmtId="0" fontId="6" fillId="10" borderId="64" xfId="0" applyFont="1" applyFill="1" applyBorder="1" applyAlignment="1" applyProtection="1">
      <alignment horizontal="centerContinuous" vertical="center" wrapText="1"/>
      <protection locked="0"/>
    </xf>
    <xf numFmtId="168" fontId="3" fillId="0" borderId="34" xfId="0" applyNumberFormat="1" applyFont="1" applyFill="1" applyBorder="1" applyAlignment="1" applyProtection="1">
      <alignment horizontal="right" vertical="center"/>
      <protection locked="0"/>
    </xf>
    <xf numFmtId="168" fontId="6" fillId="10" borderId="5" xfId="0" applyNumberFormat="1" applyFont="1" applyFill="1" applyBorder="1" applyAlignment="1" applyProtection="1">
      <alignment horizontal="centerContinuous" vertical="center" wrapText="1"/>
      <protection locked="0"/>
    </xf>
    <xf numFmtId="0" fontId="0" fillId="0" borderId="0" xfId="0" applyAlignment="1">
      <alignment horizontal="center" vertical="center"/>
    </xf>
    <xf numFmtId="0" fontId="3" fillId="2" borderId="0" xfId="12" applyFont="1" applyFill="1" applyAlignment="1">
      <alignment horizontal="center" vertical="center" wrapText="1"/>
    </xf>
    <xf numFmtId="3" fontId="3" fillId="2" borderId="0" xfId="12" applyNumberFormat="1" applyFont="1" applyFill="1" applyAlignment="1">
      <alignment horizontal="center" vertical="center"/>
    </xf>
    <xf numFmtId="0" fontId="6" fillId="2" borderId="42" xfId="12" applyFont="1" applyFill="1" applyBorder="1" applyAlignment="1">
      <alignment horizontal="center" vertical="center"/>
    </xf>
    <xf numFmtId="0" fontId="3" fillId="0" borderId="107" xfId="11" applyFont="1" applyFill="1" applyBorder="1"/>
    <xf numFmtId="208" fontId="4" fillId="0" borderId="35" xfId="0" applyNumberFormat="1" applyFont="1" applyFill="1" applyBorder="1" applyAlignment="1" applyProtection="1">
      <alignment horizontal="right" vertical="center"/>
      <protection hidden="1"/>
    </xf>
    <xf numFmtId="208" fontId="6" fillId="0" borderId="49" xfId="12" applyNumberFormat="1" applyFont="1" applyFill="1" applyBorder="1" applyAlignment="1">
      <alignment horizontal="center" vertical="center" wrapText="1"/>
    </xf>
    <xf numFmtId="208" fontId="8" fillId="0" borderId="34" xfId="0" applyNumberFormat="1" applyFont="1" applyFill="1" applyBorder="1" applyAlignment="1" applyProtection="1">
      <alignment horizontal="center" vertical="center"/>
      <protection hidden="1"/>
    </xf>
    <xf numFmtId="3" fontId="56" fillId="43" borderId="1" xfId="0" applyNumberFormat="1" applyFont="1" applyFill="1" applyBorder="1" applyAlignment="1" applyProtection="1">
      <alignment horizontal="centerContinuous" vertical="center"/>
      <protection locked="0"/>
    </xf>
    <xf numFmtId="169" fontId="19" fillId="0" borderId="0" xfId="0" applyNumberFormat="1" applyFont="1" applyFill="1" applyAlignment="1" applyProtection="1">
      <protection hidden="1"/>
    </xf>
    <xf numFmtId="169" fontId="3" fillId="0" borderId="0" xfId="0" applyNumberFormat="1" applyFont="1" applyFill="1" applyAlignment="1" applyProtection="1">
      <protection hidden="1"/>
    </xf>
    <xf numFmtId="169" fontId="9" fillId="0" borderId="0" xfId="0" applyNumberFormat="1" applyFont="1" applyProtection="1">
      <protection hidden="1"/>
    </xf>
    <xf numFmtId="0" fontId="6" fillId="0" borderId="108" xfId="0" applyFont="1" applyFill="1" applyBorder="1" applyAlignment="1">
      <alignment horizontal="center" vertical="center"/>
    </xf>
    <xf numFmtId="0" fontId="6" fillId="0" borderId="109" xfId="0" applyFont="1" applyFill="1" applyBorder="1" applyAlignment="1">
      <alignment horizontal="center" vertical="center" wrapText="1"/>
    </xf>
    <xf numFmtId="0" fontId="6" fillId="0" borderId="109" xfId="0" applyFont="1" applyFill="1" applyBorder="1" applyAlignment="1" applyProtection="1">
      <alignment horizontal="center" vertical="center"/>
      <protection hidden="1"/>
    </xf>
    <xf numFmtId="0" fontId="6" fillId="0" borderId="109" xfId="0" quotePrefix="1" applyFont="1" applyFill="1" applyBorder="1" applyAlignment="1" applyProtection="1">
      <alignment horizontal="center" vertical="center"/>
      <protection hidden="1"/>
    </xf>
    <xf numFmtId="0" fontId="6" fillId="0" borderId="110" xfId="0" applyFont="1" applyFill="1" applyBorder="1" applyAlignment="1" applyProtection="1">
      <alignment horizontal="center" vertical="center"/>
      <protection hidden="1"/>
    </xf>
    <xf numFmtId="0" fontId="6" fillId="0" borderId="111" xfId="0" applyFont="1" applyFill="1" applyBorder="1" applyAlignment="1" applyProtection="1">
      <alignment horizontal="center" vertical="center" wrapText="1"/>
      <protection hidden="1"/>
    </xf>
    <xf numFmtId="0" fontId="6" fillId="0" borderId="108" xfId="0" quotePrefix="1" applyFont="1" applyFill="1" applyBorder="1" applyAlignment="1" applyProtection="1">
      <alignment horizontal="center" vertical="center"/>
      <protection hidden="1"/>
    </xf>
    <xf numFmtId="179" fontId="0" fillId="0" borderId="0" xfId="0" applyNumberFormat="1"/>
    <xf numFmtId="0" fontId="58" fillId="0" borderId="0" xfId="0" applyFont="1"/>
    <xf numFmtId="0" fontId="58" fillId="2" borderId="0" xfId="12" applyFont="1" applyFill="1"/>
    <xf numFmtId="0" fontId="58" fillId="2" borderId="0" xfId="12" applyFont="1" applyFill="1" applyAlignment="1">
      <alignment wrapText="1"/>
    </xf>
    <xf numFmtId="180" fontId="58" fillId="2" borderId="0" xfId="12" applyNumberFormat="1" applyFont="1" applyFill="1" applyAlignment="1">
      <alignment horizontal="center" vertical="center"/>
    </xf>
    <xf numFmtId="180" fontId="58" fillId="2" borderId="0" xfId="12" applyNumberFormat="1" applyFont="1" applyFill="1"/>
    <xf numFmtId="210" fontId="3" fillId="2" borderId="0" xfId="12" applyNumberFormat="1" applyFont="1" applyFill="1" applyAlignment="1">
      <alignment horizontal="center" vertical="center"/>
    </xf>
    <xf numFmtId="0" fontId="0" fillId="44" borderId="0" xfId="0" applyFill="1"/>
    <xf numFmtId="209" fontId="6" fillId="2" borderId="63" xfId="12" applyNumberFormat="1" applyFont="1" applyFill="1" applyBorder="1" applyAlignment="1">
      <alignment horizontal="center" vertical="center" wrapText="1"/>
    </xf>
    <xf numFmtId="209" fontId="6" fillId="2" borderId="34" xfId="12" applyNumberFormat="1" applyFont="1" applyFill="1" applyBorder="1" applyAlignment="1">
      <alignment horizontal="center" vertical="center" wrapText="1"/>
    </xf>
    <xf numFmtId="209" fontId="8" fillId="0" borderId="34" xfId="0" applyNumberFormat="1" applyFont="1" applyFill="1" applyBorder="1" applyAlignment="1" applyProtection="1">
      <alignment horizontal="center" vertical="center"/>
      <protection hidden="1"/>
    </xf>
    <xf numFmtId="4" fontId="6" fillId="44" borderId="1" xfId="7" applyNumberFormat="1" applyFont="1" applyFill="1" applyBorder="1" applyAlignment="1" applyProtection="1">
      <alignment horizontal="right" vertical="center"/>
      <protection locked="0"/>
    </xf>
    <xf numFmtId="0" fontId="7" fillId="0" borderId="112" xfId="0" applyFont="1" applyBorder="1" applyAlignment="1" applyProtection="1">
      <alignment horizontal="center" vertical="center"/>
      <protection hidden="1"/>
    </xf>
    <xf numFmtId="0" fontId="10" fillId="0" borderId="25" xfId="0" applyFont="1" applyBorder="1" applyAlignment="1" applyProtection="1">
      <alignment horizontal="center"/>
      <protection hidden="1"/>
    </xf>
    <xf numFmtId="0" fontId="10" fillId="0" borderId="2" xfId="0" applyFont="1" applyBorder="1" applyAlignment="1" applyProtection="1">
      <alignment horizontal="center"/>
      <protection hidden="1"/>
    </xf>
    <xf numFmtId="3" fontId="3" fillId="0" borderId="113" xfId="0" applyNumberFormat="1" applyFont="1" applyFill="1" applyBorder="1" applyAlignment="1" applyProtection="1">
      <alignment horizontal="centerContinuous" vertical="center"/>
      <protection locked="0"/>
    </xf>
    <xf numFmtId="0" fontId="3" fillId="0" borderId="0" xfId="0" applyFont="1" applyFill="1" applyAlignment="1" applyProtection="1">
      <alignment horizontal="right" vertical="center"/>
      <protection hidden="1"/>
    </xf>
    <xf numFmtId="3" fontId="3" fillId="0" borderId="40" xfId="0" applyNumberFormat="1" applyFont="1" applyFill="1" applyBorder="1" applyAlignment="1" applyProtection="1">
      <alignment horizontal="right" vertical="center"/>
      <protection locked="0"/>
    </xf>
    <xf numFmtId="3" fontId="3" fillId="0" borderId="3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3" fillId="0" borderId="0" xfId="0" applyFont="1" applyAlignment="1" applyProtection="1">
      <alignment horizontal="right" vertical="center"/>
      <protection hidden="1"/>
    </xf>
    <xf numFmtId="0" fontId="15" fillId="9" borderId="43" xfId="0" applyFont="1" applyFill="1" applyBorder="1" applyAlignment="1" applyProtection="1">
      <alignment horizontal="centerContinuous" vertical="center"/>
      <protection locked="0"/>
    </xf>
    <xf numFmtId="0" fontId="4" fillId="0" borderId="114" xfId="0" applyFont="1" applyFill="1" applyBorder="1" applyAlignment="1" applyProtection="1">
      <alignment horizontal="left" vertical="center" wrapText="1"/>
      <protection hidden="1"/>
    </xf>
    <xf numFmtId="178" fontId="10" fillId="0" borderId="0" xfId="3" applyNumberFormat="1" applyFont="1" applyAlignment="1" applyProtection="1">
      <alignment horizontal="center" vertical="center"/>
      <protection hidden="1"/>
    </xf>
    <xf numFmtId="179" fontId="58" fillId="2" borderId="0" xfId="12" applyNumberFormat="1" applyFont="1" applyFill="1" applyAlignment="1">
      <alignment horizontal="right" vertical="center"/>
    </xf>
    <xf numFmtId="167" fontId="58" fillId="2" borderId="0" xfId="3" applyFont="1" applyFill="1" applyAlignment="1">
      <alignment horizontal="center" vertical="center"/>
    </xf>
    <xf numFmtId="0" fontId="10" fillId="0" borderId="115" xfId="0" applyFont="1" applyBorder="1" applyAlignment="1" applyProtection="1">
      <alignment horizontal="center"/>
      <protection hidden="1"/>
    </xf>
    <xf numFmtId="0" fontId="10" fillId="0" borderId="51" xfId="0" applyFont="1" applyBorder="1" applyAlignment="1" applyProtection="1">
      <alignment horizontal="center"/>
      <protection hidden="1"/>
    </xf>
    <xf numFmtId="4" fontId="6" fillId="44" borderId="55" xfId="7" applyNumberFormat="1" applyFont="1" applyFill="1" applyBorder="1" applyAlignment="1" applyProtection="1">
      <alignment horizontal="right" vertical="center"/>
      <protection locked="0"/>
    </xf>
    <xf numFmtId="169" fontId="3" fillId="0" borderId="120" xfId="0" applyNumberFormat="1" applyFont="1" applyFill="1" applyBorder="1" applyAlignment="1" applyProtection="1">
      <alignment horizontal="right" vertical="center"/>
      <protection locked="0"/>
    </xf>
    <xf numFmtId="3" fontId="3" fillId="0" borderId="61" xfId="7" applyNumberFormat="1" applyFont="1" applyFill="1" applyBorder="1" applyAlignment="1" applyProtection="1">
      <alignment horizontal="center" vertical="center"/>
      <protection locked="0"/>
    </xf>
    <xf numFmtId="1" fontId="56" fillId="0" borderId="0" xfId="12" applyNumberFormat="1" applyFont="1" applyAlignment="1">
      <alignment horizontal="centerContinuous" vertical="center" wrapText="1"/>
    </xf>
    <xf numFmtId="1" fontId="60" fillId="0" borderId="0" xfId="12" applyNumberFormat="1" applyFont="1" applyAlignment="1">
      <alignment horizontal="centerContinuous" vertical="center" wrapText="1"/>
    </xf>
    <xf numFmtId="208" fontId="8" fillId="0" borderId="35" xfId="0" applyNumberFormat="1" applyFont="1" applyBorder="1" applyAlignment="1" applyProtection="1">
      <alignment horizontal="center" vertical="center"/>
      <protection hidden="1"/>
    </xf>
    <xf numFmtId="0" fontId="3" fillId="0" borderId="119" xfId="0" applyFont="1" applyFill="1" applyBorder="1" applyAlignment="1" applyProtection="1">
      <alignment horizontal="center" vertical="center" wrapText="1"/>
      <protection locked="0"/>
    </xf>
    <xf numFmtId="0" fontId="3" fillId="0" borderId="120" xfId="0" applyFont="1" applyFill="1" applyBorder="1" applyAlignment="1" applyProtection="1">
      <alignment horizontal="center" vertical="center" wrapText="1"/>
      <protection locked="0"/>
    </xf>
    <xf numFmtId="4" fontId="3" fillId="0" borderId="61" xfId="7" applyNumberFormat="1" applyFont="1" applyFill="1" applyBorder="1" applyAlignment="1" applyProtection="1">
      <alignment vertical="center"/>
      <protection locked="0"/>
    </xf>
    <xf numFmtId="0" fontId="6" fillId="45" borderId="13" xfId="0" applyFont="1" applyFill="1" applyBorder="1" applyAlignment="1" applyProtection="1">
      <alignment horizontal="center" vertical="center" wrapText="1"/>
      <protection locked="0"/>
    </xf>
    <xf numFmtId="0" fontId="6" fillId="45" borderId="116" xfId="0" applyFont="1" applyFill="1" applyBorder="1" applyAlignment="1" applyProtection="1">
      <alignment vertical="center" wrapText="1"/>
      <protection locked="0"/>
    </xf>
    <xf numFmtId="0" fontId="6" fillId="45" borderId="57" xfId="0" applyFont="1" applyFill="1" applyBorder="1" applyAlignment="1" applyProtection="1">
      <alignment horizontal="center" vertical="center" wrapText="1"/>
      <protection locked="0"/>
    </xf>
    <xf numFmtId="0" fontId="6" fillId="45" borderId="125" xfId="0" applyFont="1" applyFill="1" applyBorder="1" applyAlignment="1" applyProtection="1">
      <alignment horizontal="center" vertical="center" wrapText="1"/>
      <protection hidden="1"/>
    </xf>
    <xf numFmtId="0" fontId="3" fillId="0" borderId="120" xfId="0" applyFont="1" applyFill="1" applyBorder="1" applyAlignment="1" applyProtection="1">
      <alignment horizontal="left" vertical="center" wrapText="1"/>
      <protection locked="0"/>
    </xf>
    <xf numFmtId="168" fontId="3" fillId="0" borderId="120" xfId="0" applyNumberFormat="1" applyFont="1" applyFill="1" applyBorder="1" applyAlignment="1" applyProtection="1">
      <alignment horizontal="right" vertical="center"/>
      <protection locked="0"/>
    </xf>
    <xf numFmtId="0" fontId="6" fillId="46" borderId="121" xfId="0" applyFont="1" applyFill="1" applyBorder="1" applyAlignment="1" applyProtection="1">
      <alignment horizontal="right" vertical="center"/>
      <protection locked="0"/>
    </xf>
    <xf numFmtId="0" fontId="6" fillId="46" borderId="122" xfId="0" applyFont="1" applyFill="1" applyBorder="1" applyAlignment="1" applyProtection="1">
      <alignment horizontal="right" vertical="center"/>
      <protection locked="0"/>
    </xf>
    <xf numFmtId="0" fontId="6" fillId="46" borderId="122" xfId="0" quotePrefix="1" applyFont="1" applyFill="1" applyBorder="1" applyAlignment="1" applyProtection="1">
      <alignment horizontal="right" vertical="center"/>
      <protection locked="0"/>
    </xf>
    <xf numFmtId="4" fontId="6" fillId="46" borderId="122" xfId="0" applyNumberFormat="1" applyFont="1" applyFill="1" applyBorder="1" applyAlignment="1" applyProtection="1">
      <alignment horizontal="right" vertical="center"/>
      <protection locked="0"/>
    </xf>
    <xf numFmtId="4" fontId="6" fillId="46" borderId="123" xfId="7" applyNumberFormat="1" applyFont="1" applyFill="1" applyBorder="1" applyAlignment="1" applyProtection="1">
      <alignment horizontal="right" vertical="center"/>
      <protection locked="0"/>
    </xf>
    <xf numFmtId="4" fontId="6" fillId="46" borderId="55" xfId="7" applyNumberFormat="1" applyFont="1" applyFill="1" applyBorder="1" applyAlignment="1" applyProtection="1">
      <alignment horizontal="right" vertical="center"/>
      <protection locked="0"/>
    </xf>
    <xf numFmtId="0" fontId="6" fillId="46" borderId="53" xfId="0" applyFont="1" applyFill="1" applyBorder="1" applyAlignment="1" applyProtection="1">
      <alignment horizontal="right" vertical="center"/>
      <protection locked="0"/>
    </xf>
    <xf numFmtId="0" fontId="6" fillId="46" borderId="54" xfId="0" applyFont="1" applyFill="1" applyBorder="1" applyAlignment="1" applyProtection="1">
      <alignment horizontal="right" vertical="center"/>
      <protection locked="0"/>
    </xf>
    <xf numFmtId="0" fontId="6" fillId="46" borderId="54" xfId="0" quotePrefix="1" applyFont="1" applyFill="1" applyBorder="1" applyAlignment="1" applyProtection="1">
      <alignment horizontal="right" vertical="center"/>
      <protection locked="0"/>
    </xf>
    <xf numFmtId="4" fontId="6" fillId="46" borderId="54" xfId="0" applyNumberFormat="1" applyFont="1" applyFill="1" applyBorder="1" applyAlignment="1" applyProtection="1">
      <alignment horizontal="right" vertical="center"/>
      <protection locked="0"/>
    </xf>
    <xf numFmtId="10" fontId="6" fillId="44" borderId="60" xfId="228" applyNumberFormat="1" applyFont="1" applyFill="1" applyBorder="1" applyAlignment="1" applyProtection="1">
      <alignment horizontal="center" vertical="center"/>
      <protection locked="0"/>
    </xf>
    <xf numFmtId="10" fontId="6" fillId="10" borderId="60" xfId="228" applyNumberFormat="1" applyFont="1" applyFill="1" applyBorder="1" applyAlignment="1" applyProtection="1">
      <alignment horizontal="center" vertical="center"/>
      <protection locked="0"/>
    </xf>
    <xf numFmtId="4" fontId="6" fillId="10" borderId="55" xfId="7" applyNumberFormat="1" applyFont="1" applyFill="1" applyBorder="1" applyAlignment="1" applyProtection="1">
      <alignment horizontal="right" vertical="center"/>
      <protection locked="0"/>
    </xf>
    <xf numFmtId="0" fontId="6" fillId="46" borderId="56" xfId="0" applyFont="1" applyFill="1" applyBorder="1" applyAlignment="1" applyProtection="1">
      <alignment horizontal="right" vertical="center"/>
      <protection locked="0"/>
    </xf>
    <xf numFmtId="0" fontId="6" fillId="46" borderId="57" xfId="0" applyFont="1" applyFill="1" applyBorder="1" applyAlignment="1" applyProtection="1">
      <alignment horizontal="right" vertical="center"/>
      <protection locked="0"/>
    </xf>
    <xf numFmtId="0" fontId="6" fillId="46" borderId="57" xfId="0" quotePrefix="1" applyFont="1" applyFill="1" applyBorder="1" applyAlignment="1" applyProtection="1">
      <alignment horizontal="right" vertical="center"/>
      <protection locked="0"/>
    </xf>
    <xf numFmtId="4" fontId="6" fillId="46" borderId="57" xfId="0" applyNumberFormat="1" applyFont="1" applyFill="1" applyBorder="1" applyAlignment="1" applyProtection="1">
      <alignment horizontal="right" vertical="center"/>
      <protection locked="0"/>
    </xf>
    <xf numFmtId="4" fontId="6" fillId="46" borderId="58" xfId="7" applyNumberFormat="1" applyFont="1" applyFill="1" applyBorder="1" applyAlignment="1" applyProtection="1">
      <alignment horizontal="right" vertical="center"/>
      <protection locked="0"/>
    </xf>
    <xf numFmtId="10" fontId="6" fillId="10" borderId="1" xfId="228" applyNumberFormat="1" applyFont="1" applyFill="1" applyBorder="1" applyAlignment="1" applyProtection="1">
      <alignment horizontal="centerContinuous" vertical="center"/>
      <protection locked="0"/>
    </xf>
    <xf numFmtId="4" fontId="6" fillId="47" borderId="118" xfId="7" applyNumberFormat="1" applyFont="1" applyFill="1" applyBorder="1" applyAlignment="1" applyProtection="1">
      <alignment horizontal="right" vertical="center"/>
      <protection locked="0"/>
    </xf>
    <xf numFmtId="4" fontId="6" fillId="47" borderId="1" xfId="7" applyNumberFormat="1" applyFont="1" applyFill="1" applyBorder="1" applyAlignment="1" applyProtection="1">
      <alignment horizontal="right" vertical="center"/>
      <protection locked="0"/>
    </xf>
    <xf numFmtId="4" fontId="6" fillId="10" borderId="1" xfId="7" applyNumberFormat="1" applyFont="1" applyFill="1" applyBorder="1" applyAlignment="1" applyProtection="1">
      <alignment horizontal="right" vertical="center"/>
      <protection locked="0"/>
    </xf>
    <xf numFmtId="4" fontId="6" fillId="46" borderId="42" xfId="7" applyNumberFormat="1" applyFont="1" applyFill="1" applyBorder="1" applyAlignment="1" applyProtection="1">
      <alignment horizontal="right" vertical="center"/>
      <protection locked="0"/>
    </xf>
    <xf numFmtId="3" fontId="3" fillId="0" borderId="34" xfId="0" applyNumberFormat="1" applyFont="1" applyFill="1" applyBorder="1" applyAlignment="1" applyProtection="1">
      <alignment horizontal="right" vertical="center"/>
      <protection locked="0"/>
    </xf>
    <xf numFmtId="3" fontId="6" fillId="10" borderId="5" xfId="0" applyNumberFormat="1" applyFont="1" applyFill="1" applyBorder="1" applyAlignment="1" applyProtection="1">
      <alignment horizontal="centerContinuous" vertical="center" wrapText="1"/>
      <protection locked="0"/>
    </xf>
    <xf numFmtId="3" fontId="3" fillId="0" borderId="120" xfId="0" applyNumberFormat="1" applyFont="1" applyFill="1" applyBorder="1" applyAlignment="1" applyProtection="1">
      <alignment horizontal="right" vertical="center"/>
      <protection locked="0"/>
    </xf>
    <xf numFmtId="3" fontId="3" fillId="0" borderId="48" xfId="0" applyNumberFormat="1" applyFont="1" applyFill="1" applyBorder="1" applyAlignment="1" applyProtection="1">
      <alignment horizontal="right" vertical="center"/>
      <protection locked="0"/>
    </xf>
    <xf numFmtId="3" fontId="6" fillId="10" borderId="62" xfId="0" applyNumberFormat="1" applyFont="1" applyFill="1" applyBorder="1" applyAlignment="1" applyProtection="1">
      <alignment horizontal="centerContinuous" vertical="center" wrapText="1"/>
      <protection locked="0"/>
    </xf>
    <xf numFmtId="3" fontId="3" fillId="0" borderId="119" xfId="0" applyNumberFormat="1" applyFont="1" applyFill="1" applyBorder="1" applyAlignment="1" applyProtection="1">
      <alignment horizontal="right" vertical="center"/>
      <protection locked="0"/>
    </xf>
    <xf numFmtId="10" fontId="3" fillId="0" borderId="1" xfId="228" applyNumberFormat="1" applyFont="1" applyFill="1" applyBorder="1" applyAlignment="1" applyProtection="1">
      <alignment horizontal="centerContinuous" vertical="center"/>
      <protection locked="0"/>
    </xf>
    <xf numFmtId="10" fontId="3" fillId="44" borderId="1" xfId="228" applyNumberFormat="1" applyFont="1" applyFill="1" applyBorder="1" applyAlignment="1" applyProtection="1">
      <alignment horizontal="centerContinuous" vertical="center"/>
      <protection locked="0"/>
    </xf>
    <xf numFmtId="211" fontId="3" fillId="0" borderId="113" xfId="228" applyNumberFormat="1" applyFont="1" applyFill="1" applyBorder="1" applyAlignment="1" applyProtection="1">
      <alignment horizontal="centerContinuous" vertical="center"/>
      <protection locked="0"/>
    </xf>
    <xf numFmtId="3" fontId="6" fillId="45" borderId="32" xfId="11" applyNumberFormat="1" applyFont="1" applyFill="1" applyBorder="1" applyAlignment="1" applyProtection="1">
      <alignment horizontal="right"/>
      <protection hidden="1"/>
    </xf>
    <xf numFmtId="0" fontId="15" fillId="45" borderId="42" xfId="12" applyFont="1" applyFill="1" applyBorder="1" applyAlignment="1">
      <alignment horizontal="center" vertical="center" wrapText="1"/>
    </xf>
    <xf numFmtId="0" fontId="30" fillId="45" borderId="14" xfId="13" applyFont="1" applyFill="1" applyBorder="1" applyAlignment="1">
      <alignment horizontal="center" vertical="center"/>
    </xf>
    <xf numFmtId="0" fontId="29" fillId="45" borderId="6" xfId="13" applyFont="1" applyFill="1" applyBorder="1" applyAlignment="1">
      <alignment horizontal="center" vertical="center"/>
    </xf>
    <xf numFmtId="0" fontId="1" fillId="45" borderId="6" xfId="13" applyFont="1" applyFill="1" applyBorder="1" applyAlignment="1">
      <alignment horizontal="center" vertical="center"/>
    </xf>
    <xf numFmtId="176" fontId="15" fillId="45" borderId="71" xfId="7" applyNumberFormat="1" applyFont="1" applyFill="1" applyBorder="1" applyAlignment="1">
      <alignment horizontal="center" vertical="center" wrapText="1"/>
    </xf>
    <xf numFmtId="0" fontId="15" fillId="45" borderId="66" xfId="12" applyFont="1" applyFill="1" applyBorder="1" applyAlignment="1">
      <alignment horizontal="center" vertical="center" wrapText="1"/>
    </xf>
    <xf numFmtId="0" fontId="15" fillId="45" borderId="67" xfId="12" applyFont="1" applyFill="1" applyBorder="1" applyAlignment="1">
      <alignment horizontal="center" vertical="center" wrapText="1"/>
    </xf>
    <xf numFmtId="0" fontId="15" fillId="45" borderId="37" xfId="12" applyFont="1" applyFill="1" applyBorder="1" applyAlignment="1">
      <alignment horizontal="center" vertical="center"/>
    </xf>
    <xf numFmtId="0" fontId="15" fillId="45" borderId="59" xfId="12" applyFont="1" applyFill="1" applyBorder="1" applyAlignment="1">
      <alignment horizontal="center" vertical="center"/>
    </xf>
    <xf numFmtId="0" fontId="6" fillId="45" borderId="55" xfId="12" applyFont="1" applyFill="1" applyBorder="1" applyAlignment="1">
      <alignment horizontal="center" vertical="center"/>
    </xf>
    <xf numFmtId="0" fontId="15" fillId="45" borderId="70" xfId="0" applyFont="1" applyFill="1" applyBorder="1" applyAlignment="1" applyProtection="1">
      <alignment horizontal="center"/>
      <protection hidden="1"/>
    </xf>
    <xf numFmtId="0" fontId="15" fillId="45" borderId="60" xfId="0" applyFont="1" applyFill="1" applyBorder="1" applyAlignment="1" applyProtection="1">
      <alignment horizontal="center"/>
      <protection hidden="1"/>
    </xf>
    <xf numFmtId="0" fontId="15" fillId="45" borderId="105" xfId="0" applyFont="1" applyFill="1" applyBorder="1" applyAlignment="1" applyProtection="1">
      <alignment horizontal="center"/>
      <protection hidden="1"/>
    </xf>
    <xf numFmtId="0" fontId="15" fillId="45" borderId="7" xfId="0" applyFont="1" applyFill="1" applyBorder="1" applyAlignment="1" applyProtection="1">
      <alignment horizontal="center"/>
      <protection hidden="1"/>
    </xf>
    <xf numFmtId="0" fontId="7" fillId="45" borderId="66" xfId="0" applyFont="1" applyFill="1" applyBorder="1" applyAlignment="1" applyProtection="1">
      <alignment horizontal="center" vertical="center" wrapText="1"/>
      <protection hidden="1"/>
    </xf>
    <xf numFmtId="0" fontId="7" fillId="45" borderId="66" xfId="0" applyFont="1" applyFill="1" applyBorder="1" applyAlignment="1" applyProtection="1">
      <alignment horizontal="center" vertical="center" wrapText="1"/>
      <protection locked="0"/>
    </xf>
    <xf numFmtId="0" fontId="7" fillId="45" borderId="68" xfId="0" applyFont="1" applyFill="1" applyBorder="1" applyAlignment="1" applyProtection="1">
      <alignment horizontal="center" vertical="center" wrapText="1"/>
      <protection hidden="1"/>
    </xf>
    <xf numFmtId="0" fontId="7" fillId="45" borderId="68" xfId="12" applyFont="1" applyFill="1" applyBorder="1" applyAlignment="1">
      <alignment horizontal="center" vertical="center" wrapText="1"/>
    </xf>
    <xf numFmtId="2" fontId="7" fillId="45" borderId="68" xfId="3" applyNumberFormat="1" applyFont="1" applyFill="1" applyBorder="1" applyAlignment="1" applyProtection="1">
      <alignment horizontal="center" vertical="center"/>
      <protection locked="0"/>
    </xf>
    <xf numFmtId="2" fontId="7" fillId="45" borderId="68" xfId="0" applyNumberFormat="1" applyFont="1" applyFill="1" applyBorder="1" applyAlignment="1" applyProtection="1">
      <alignment horizontal="center" vertical="center"/>
      <protection hidden="1"/>
    </xf>
    <xf numFmtId="4" fontId="7" fillId="45" borderId="72" xfId="0" applyNumberFormat="1" applyFont="1" applyFill="1" applyBorder="1" applyAlignment="1" applyProtection="1">
      <alignment horizontal="center" vertical="center"/>
      <protection hidden="1"/>
    </xf>
    <xf numFmtId="0" fontId="10" fillId="0" borderId="126" xfId="0" applyFont="1" applyBorder="1" applyAlignment="1" applyProtection="1">
      <alignment horizontal="center"/>
      <protection hidden="1"/>
    </xf>
    <xf numFmtId="1" fontId="7" fillId="0" borderId="60" xfId="0" applyNumberFormat="1" applyFont="1" applyFill="1" applyBorder="1" applyAlignment="1" applyProtection="1">
      <alignment horizontal="center" vertical="center"/>
      <protection hidden="1"/>
    </xf>
    <xf numFmtId="0" fontId="61" fillId="0" borderId="60" xfId="0" applyFont="1" applyBorder="1" applyAlignment="1">
      <alignment wrapText="1"/>
    </xf>
    <xf numFmtId="3" fontId="7" fillId="0" borderId="60" xfId="0" applyNumberFormat="1" applyFont="1" applyBorder="1" applyAlignment="1">
      <alignment horizontal="center" vertical="center"/>
    </xf>
    <xf numFmtId="0" fontId="7" fillId="0" borderId="60" xfId="0" applyFont="1" applyBorder="1" applyAlignment="1" applyProtection="1">
      <alignment horizontal="center" vertical="center"/>
      <protection hidden="1"/>
    </xf>
    <xf numFmtId="0" fontId="62" fillId="0" borderId="0" xfId="0" applyFont="1" applyAlignment="1" applyProtection="1">
      <alignment horizontal="center" vertical="center"/>
      <protection hidden="1"/>
    </xf>
    <xf numFmtId="0" fontId="58" fillId="0" borderId="0" xfId="0" applyFont="1" applyAlignment="1" applyProtection="1">
      <alignment horizontal="center" vertical="center"/>
      <protection hidden="1"/>
    </xf>
    <xf numFmtId="0" fontId="61" fillId="43" borderId="60" xfId="0" applyFont="1" applyFill="1" applyBorder="1" applyAlignment="1">
      <alignment wrapText="1"/>
    </xf>
    <xf numFmtId="212" fontId="0" fillId="44" borderId="0" xfId="229" applyNumberFormat="1" applyFont="1" applyFill="1" applyAlignment="1">
      <alignment horizontal="center" vertical="center"/>
    </xf>
    <xf numFmtId="0" fontId="0" fillId="44" borderId="0" xfId="0" applyFill="1" applyAlignment="1">
      <alignment horizontal="center" vertical="center"/>
    </xf>
    <xf numFmtId="4" fontId="3" fillId="0" borderId="48" xfId="0" applyNumberFormat="1" applyFont="1" applyFill="1" applyBorder="1" applyAlignment="1" applyProtection="1">
      <alignment horizontal="right" vertical="center"/>
      <protection locked="0"/>
    </xf>
    <xf numFmtId="4" fontId="6" fillId="10" borderId="62" xfId="0" applyNumberFormat="1" applyFont="1" applyFill="1" applyBorder="1" applyAlignment="1" applyProtection="1">
      <alignment horizontal="centerContinuous" vertical="center" wrapText="1"/>
      <protection locked="0"/>
    </xf>
    <xf numFmtId="4" fontId="3" fillId="0" borderId="119" xfId="0" applyNumberFormat="1" applyFont="1" applyFill="1" applyBorder="1" applyAlignment="1" applyProtection="1">
      <alignment horizontal="right" vertical="center"/>
      <protection locked="0"/>
    </xf>
    <xf numFmtId="1" fontId="4" fillId="0" borderId="0" xfId="12" applyNumberFormat="1" applyFont="1" applyAlignment="1">
      <alignment horizontal="center" vertical="center" wrapText="1"/>
    </xf>
    <xf numFmtId="1" fontId="6" fillId="0" borderId="0" xfId="12" applyNumberFormat="1" applyFont="1" applyAlignment="1">
      <alignment horizontal="center" vertical="center" wrapText="1"/>
    </xf>
    <xf numFmtId="0" fontId="6" fillId="45" borderId="23" xfId="11" applyFont="1" applyFill="1" applyBorder="1" applyAlignment="1" applyProtection="1">
      <alignment horizontal="center" vertical="center" wrapText="1"/>
      <protection hidden="1"/>
    </xf>
    <xf numFmtId="0" fontId="6" fillId="45" borderId="25" xfId="11" applyFont="1" applyFill="1" applyBorder="1" applyAlignment="1" applyProtection="1">
      <alignment horizontal="center" vertical="center" wrapText="1"/>
      <protection hidden="1"/>
    </xf>
    <xf numFmtId="0" fontId="6" fillId="45" borderId="9" xfId="11" applyFont="1" applyFill="1" applyBorder="1" applyAlignment="1" applyProtection="1">
      <alignment horizontal="center" vertical="center" wrapText="1"/>
      <protection hidden="1"/>
    </xf>
    <xf numFmtId="0" fontId="6" fillId="45" borderId="10" xfId="11" applyFont="1" applyFill="1" applyBorder="1" applyAlignment="1" applyProtection="1">
      <alignment horizontal="center" vertical="center" wrapText="1"/>
      <protection hidden="1"/>
    </xf>
    <xf numFmtId="0" fontId="6" fillId="45" borderId="11" xfId="11" applyFont="1" applyFill="1" applyBorder="1" applyAlignment="1" applyProtection="1">
      <alignment horizontal="center" vertical="center" wrapText="1"/>
      <protection hidden="1"/>
    </xf>
    <xf numFmtId="0" fontId="6" fillId="45" borderId="2" xfId="11" applyFont="1" applyFill="1" applyBorder="1" applyAlignment="1" applyProtection="1">
      <alignment horizontal="center" vertical="center" wrapText="1"/>
      <protection hidden="1"/>
    </xf>
    <xf numFmtId="0" fontId="3" fillId="0" borderId="11" xfId="0" applyFont="1" applyBorder="1" applyProtection="1">
      <protection hidden="1"/>
    </xf>
    <xf numFmtId="0" fontId="10" fillId="0" borderId="12" xfId="0" applyFont="1" applyBorder="1" applyProtection="1">
      <protection hidden="1"/>
    </xf>
    <xf numFmtId="0" fontId="6" fillId="45" borderId="75" xfId="0" applyFont="1" applyFill="1" applyBorder="1" applyAlignment="1" applyProtection="1">
      <alignment horizontal="center" vertical="center" wrapText="1"/>
      <protection hidden="1"/>
    </xf>
    <xf numFmtId="0" fontId="6" fillId="45" borderId="76" xfId="0" applyFont="1" applyFill="1" applyBorder="1" applyAlignment="1" applyProtection="1">
      <alignment horizontal="center" vertical="center" wrapText="1"/>
      <protection hidden="1"/>
    </xf>
    <xf numFmtId="0" fontId="6" fillId="45" borderId="78" xfId="0" applyFont="1" applyFill="1" applyBorder="1" applyAlignment="1" applyProtection="1">
      <alignment horizontal="center" vertical="center" wrapText="1"/>
      <protection hidden="1"/>
    </xf>
    <xf numFmtId="0" fontId="6" fillId="45" borderId="79" xfId="0" applyFont="1" applyFill="1" applyBorder="1" applyAlignment="1" applyProtection="1">
      <alignment horizontal="center" vertical="center" wrapText="1"/>
      <protection hidden="1"/>
    </xf>
    <xf numFmtId="0" fontId="6" fillId="45" borderId="74" xfId="0" applyFont="1" applyFill="1" applyBorder="1" applyAlignment="1" applyProtection="1">
      <alignment horizontal="center" vertical="center" wrapText="1"/>
      <protection hidden="1"/>
    </xf>
    <xf numFmtId="0" fontId="6" fillId="45" borderId="37" xfId="0" applyFont="1" applyFill="1" applyBorder="1" applyAlignment="1" applyProtection="1">
      <alignment horizontal="center" vertical="center" wrapText="1"/>
      <protection hidden="1"/>
    </xf>
    <xf numFmtId="0" fontId="6" fillId="45" borderId="77" xfId="0" applyFont="1" applyFill="1" applyBorder="1" applyAlignment="1" applyProtection="1">
      <alignment horizontal="center" vertical="center" wrapText="1"/>
      <protection hidden="1"/>
    </xf>
    <xf numFmtId="0" fontId="6" fillId="45" borderId="117" xfId="0" applyFont="1" applyFill="1" applyBorder="1" applyAlignment="1" applyProtection="1">
      <alignment horizontal="center" vertical="center" wrapText="1"/>
      <protection hidden="1"/>
    </xf>
    <xf numFmtId="0" fontId="6" fillId="0" borderId="0" xfId="12" applyFont="1" applyAlignment="1">
      <alignment horizontal="center" vertical="center"/>
    </xf>
    <xf numFmtId="0" fontId="6" fillId="0" borderId="12" xfId="12" applyFont="1" applyBorder="1" applyAlignment="1">
      <alignment horizontal="center" vertical="center"/>
    </xf>
    <xf numFmtId="0" fontId="6" fillId="45" borderId="73" xfId="0" applyFont="1" applyFill="1" applyBorder="1" applyAlignment="1" applyProtection="1">
      <alignment horizontal="center" vertical="center" wrapText="1"/>
      <protection locked="0"/>
    </xf>
    <xf numFmtId="0" fontId="6" fillId="45" borderId="124" xfId="0" applyFont="1" applyFill="1" applyBorder="1" applyAlignment="1" applyProtection="1">
      <alignment horizontal="center" vertical="center" wrapText="1"/>
      <protection locked="0"/>
    </xf>
    <xf numFmtId="3" fontId="5" fillId="0" borderId="80" xfId="0" applyNumberFormat="1" applyFont="1" applyFill="1" applyBorder="1" applyAlignment="1" applyProtection="1">
      <alignment horizontal="center" vertical="center"/>
      <protection hidden="1"/>
    </xf>
    <xf numFmtId="1" fontId="4" fillId="0" borderId="0" xfId="0" quotePrefix="1" applyNumberFormat="1" applyFont="1" applyFill="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0" fontId="64" fillId="0" borderId="23" xfId="0" applyFont="1" applyFill="1" applyBorder="1" applyAlignment="1" applyProtection="1">
      <alignment horizontal="justify" vertical="center" wrapText="1"/>
      <protection hidden="1"/>
    </xf>
    <xf numFmtId="0" fontId="64" fillId="0" borderId="24" xfId="0" applyFont="1" applyFill="1" applyBorder="1" applyAlignment="1" applyProtection="1">
      <alignment horizontal="justify" vertical="center" wrapText="1"/>
      <protection hidden="1"/>
    </xf>
    <xf numFmtId="0" fontId="64" fillId="0" borderId="25" xfId="0" applyFont="1" applyFill="1" applyBorder="1" applyAlignment="1" applyProtection="1">
      <alignment horizontal="justify" vertical="center" wrapText="1"/>
      <protection hidden="1"/>
    </xf>
    <xf numFmtId="0" fontId="64" fillId="0" borderId="9" xfId="0" applyFont="1" applyFill="1" applyBorder="1" applyAlignment="1" applyProtection="1">
      <alignment horizontal="justify" vertical="center" wrapText="1"/>
      <protection hidden="1"/>
    </xf>
    <xf numFmtId="0" fontId="64" fillId="0" borderId="0" xfId="0" applyFont="1" applyFill="1" applyBorder="1" applyAlignment="1" applyProtection="1">
      <alignment horizontal="justify" vertical="center" wrapText="1"/>
      <protection hidden="1"/>
    </xf>
    <xf numFmtId="0" fontId="64" fillId="0" borderId="10" xfId="0" applyFont="1" applyFill="1" applyBorder="1" applyAlignment="1" applyProtection="1">
      <alignment horizontal="justify" vertical="center" wrapText="1"/>
      <protection hidden="1"/>
    </xf>
    <xf numFmtId="0" fontId="64" fillId="0" borderId="11" xfId="0" applyFont="1" applyFill="1" applyBorder="1" applyAlignment="1" applyProtection="1">
      <alignment horizontal="justify" vertical="center" wrapText="1"/>
      <protection hidden="1"/>
    </xf>
    <xf numFmtId="0" fontId="64" fillId="0" borderId="12" xfId="0" applyFont="1" applyFill="1" applyBorder="1" applyAlignment="1" applyProtection="1">
      <alignment horizontal="justify" vertical="center" wrapText="1"/>
      <protection hidden="1"/>
    </xf>
    <xf numFmtId="0" fontId="64" fillId="0" borderId="2" xfId="0" applyFont="1" applyFill="1" applyBorder="1" applyAlignment="1" applyProtection="1">
      <alignment horizontal="justify" vertical="center" wrapText="1"/>
      <protection hidden="1"/>
    </xf>
    <xf numFmtId="0" fontId="6" fillId="0" borderId="53" xfId="0" applyFont="1" applyFill="1" applyBorder="1" applyAlignment="1" applyProtection="1">
      <alignment horizontal="right" vertical="center" wrapText="1"/>
      <protection locked="0"/>
    </xf>
    <xf numFmtId="0" fontId="6" fillId="0" borderId="54" xfId="0" applyFont="1" applyFill="1" applyBorder="1" applyAlignment="1" applyProtection="1">
      <alignment horizontal="right" vertical="center" wrapText="1"/>
      <protection locked="0"/>
    </xf>
    <xf numFmtId="0" fontId="6" fillId="0" borderId="36" xfId="0" applyFont="1" applyFill="1" applyBorder="1" applyAlignment="1" applyProtection="1">
      <alignment horizontal="right" vertical="center" wrapText="1"/>
      <protection locked="0"/>
    </xf>
    <xf numFmtId="0" fontId="6" fillId="44" borderId="53" xfId="0" quotePrefix="1" applyFont="1" applyFill="1" applyBorder="1" applyAlignment="1" applyProtection="1">
      <alignment horizontal="center" vertical="center"/>
      <protection locked="0"/>
    </xf>
    <xf numFmtId="0" fontId="6" fillId="44" borderId="54" xfId="0" quotePrefix="1" applyFont="1" applyFill="1" applyBorder="1" applyAlignment="1" applyProtection="1">
      <alignment horizontal="center" vertical="center"/>
      <protection locked="0"/>
    </xf>
    <xf numFmtId="0" fontId="6" fillId="44" borderId="36" xfId="0" quotePrefix="1" applyFont="1" applyFill="1" applyBorder="1" applyAlignment="1" applyProtection="1">
      <alignment horizontal="center" vertical="center"/>
      <protection locked="0"/>
    </xf>
    <xf numFmtId="1" fontId="4" fillId="0" borderId="81" xfId="0" quotePrefix="1" applyNumberFormat="1" applyFont="1" applyFill="1" applyBorder="1" applyAlignment="1" applyProtection="1">
      <alignment horizontal="center" vertical="center" wrapText="1"/>
      <protection hidden="1"/>
    </xf>
    <xf numFmtId="1" fontId="4" fillId="0" borderId="82" xfId="0" quotePrefix="1" applyNumberFormat="1" applyFont="1" applyFill="1" applyBorder="1" applyAlignment="1" applyProtection="1">
      <alignment horizontal="center" vertical="center" wrapText="1"/>
      <protection hidden="1"/>
    </xf>
    <xf numFmtId="1" fontId="4" fillId="0" borderId="83" xfId="0" quotePrefix="1" applyNumberFormat="1" applyFont="1" applyFill="1" applyBorder="1" applyAlignment="1" applyProtection="1">
      <alignment horizontal="center" vertical="center" wrapText="1"/>
      <protection hidden="1"/>
    </xf>
    <xf numFmtId="0" fontId="9" fillId="0" borderId="23" xfId="0" applyFont="1" applyFill="1" applyBorder="1" applyAlignment="1" applyProtection="1">
      <alignment horizontal="justify" vertical="center" wrapText="1"/>
      <protection hidden="1"/>
    </xf>
    <xf numFmtId="0" fontId="9" fillId="0" borderId="24" xfId="0" applyFont="1" applyFill="1" applyBorder="1" applyAlignment="1" applyProtection="1">
      <alignment horizontal="justify" vertical="center" wrapText="1"/>
      <protection hidden="1"/>
    </xf>
    <xf numFmtId="0" fontId="9" fillId="0" borderId="25" xfId="0" applyFont="1" applyFill="1" applyBorder="1" applyAlignment="1" applyProtection="1">
      <alignment horizontal="justify" vertical="center" wrapText="1"/>
      <protection hidden="1"/>
    </xf>
    <xf numFmtId="0" fontId="9" fillId="0" borderId="9" xfId="0" applyFont="1" applyFill="1" applyBorder="1" applyAlignment="1" applyProtection="1">
      <alignment horizontal="justify" vertical="center" wrapText="1"/>
      <protection hidden="1"/>
    </xf>
    <xf numFmtId="0" fontId="9" fillId="0" borderId="0" xfId="0" applyFont="1" applyFill="1" applyBorder="1" applyAlignment="1" applyProtection="1">
      <alignment horizontal="justify" vertical="center" wrapText="1"/>
      <protection hidden="1"/>
    </xf>
    <xf numFmtId="0" fontId="9" fillId="0" borderId="10" xfId="0" applyFont="1" applyFill="1" applyBorder="1" applyAlignment="1" applyProtection="1">
      <alignment horizontal="justify" vertical="center" wrapText="1"/>
      <protection hidden="1"/>
    </xf>
    <xf numFmtId="0" fontId="9" fillId="0" borderId="11" xfId="0" applyFont="1" applyFill="1" applyBorder="1" applyAlignment="1" applyProtection="1">
      <alignment horizontal="justify" vertical="center" wrapText="1"/>
      <protection hidden="1"/>
    </xf>
    <xf numFmtId="0" fontId="9" fillId="0" borderId="12" xfId="0" applyFont="1" applyFill="1" applyBorder="1" applyAlignment="1" applyProtection="1">
      <alignment horizontal="justify" vertical="center" wrapText="1"/>
      <protection hidden="1"/>
    </xf>
    <xf numFmtId="0" fontId="9" fillId="0" borderId="2" xfId="0" applyFont="1" applyFill="1" applyBorder="1" applyAlignment="1" applyProtection="1">
      <alignment horizontal="justify" vertical="center" wrapText="1"/>
      <protection hidden="1"/>
    </xf>
    <xf numFmtId="4" fontId="8" fillId="4" borderId="84" xfId="0" applyNumberFormat="1" applyFont="1" applyFill="1" applyBorder="1" applyAlignment="1" applyProtection="1">
      <alignment horizontal="center" vertical="center" wrapText="1"/>
      <protection hidden="1"/>
    </xf>
    <xf numFmtId="4" fontId="8" fillId="4" borderId="85" xfId="0" applyNumberFormat="1" applyFont="1" applyFill="1" applyBorder="1" applyAlignment="1" applyProtection="1">
      <alignment horizontal="center" vertical="center" wrapText="1"/>
      <protection hidden="1"/>
    </xf>
    <xf numFmtId="4" fontId="8" fillId="4" borderId="28" xfId="0" applyNumberFormat="1" applyFont="1" applyFill="1" applyBorder="1" applyAlignment="1" applyProtection="1">
      <alignment horizontal="center" vertical="center" wrapText="1"/>
      <protection hidden="1"/>
    </xf>
    <xf numFmtId="0" fontId="26" fillId="3" borderId="0" xfId="0" applyFont="1" applyFill="1" applyAlignment="1" applyProtection="1">
      <alignment horizontal="center" vertical="center" wrapText="1"/>
      <protection hidden="1"/>
    </xf>
    <xf numFmtId="0" fontId="5" fillId="0" borderId="3" xfId="0" applyFont="1" applyFill="1" applyBorder="1" applyAlignment="1" applyProtection="1">
      <alignment horizontal="center" vertical="center"/>
      <protection hidden="1"/>
    </xf>
    <xf numFmtId="0" fontId="6" fillId="10" borderId="53" xfId="0" quotePrefix="1" applyFont="1" applyFill="1" applyBorder="1" applyAlignment="1" applyProtection="1">
      <alignment horizontal="center" vertical="center"/>
      <protection locked="0"/>
    </xf>
    <xf numFmtId="0" fontId="6" fillId="10" borderId="54" xfId="0" quotePrefix="1" applyFont="1" applyFill="1" applyBorder="1" applyAlignment="1" applyProtection="1">
      <alignment horizontal="center" vertical="center"/>
      <protection locked="0"/>
    </xf>
    <xf numFmtId="0" fontId="6" fillId="10" borderId="36" xfId="0" quotePrefix="1" applyFont="1" applyFill="1" applyBorder="1" applyAlignment="1" applyProtection="1">
      <alignment horizontal="center" vertical="center"/>
      <protection locked="0"/>
    </xf>
    <xf numFmtId="0" fontId="6" fillId="0" borderId="0" xfId="12" applyFont="1" applyBorder="1" applyAlignment="1">
      <alignment horizontal="center" vertical="center" wrapText="1"/>
    </xf>
    <xf numFmtId="0" fontId="13" fillId="2" borderId="66" xfId="12" applyFont="1" applyFill="1" applyBorder="1" applyAlignment="1">
      <alignment horizontal="center" vertical="center" wrapText="1"/>
    </xf>
    <xf numFmtId="0" fontId="13" fillId="2" borderId="89" xfId="12" applyFont="1" applyFill="1" applyBorder="1" applyAlignment="1">
      <alignment horizontal="center" vertical="center" wrapText="1"/>
    </xf>
    <xf numFmtId="0" fontId="15" fillId="45" borderId="50" xfId="12" applyFont="1" applyFill="1" applyBorder="1" applyAlignment="1">
      <alignment horizontal="left" vertical="center" wrapText="1"/>
    </xf>
    <xf numFmtId="0" fontId="15" fillId="45" borderId="51" xfId="12" applyFont="1" applyFill="1" applyBorder="1" applyAlignment="1">
      <alignment horizontal="left" vertical="center" wrapText="1"/>
    </xf>
    <xf numFmtId="0" fontId="15" fillId="45" borderId="93" xfId="12" applyFont="1" applyFill="1" applyBorder="1" applyAlignment="1">
      <alignment horizontal="left" vertical="center" wrapText="1"/>
    </xf>
    <xf numFmtId="0" fontId="15" fillId="45" borderId="53" xfId="12" applyFont="1" applyFill="1" applyBorder="1" applyAlignment="1">
      <alignment horizontal="left" vertical="center" wrapText="1"/>
    </xf>
    <xf numFmtId="0" fontId="15" fillId="45" borderId="54" xfId="12" applyFont="1" applyFill="1" applyBorder="1" applyAlignment="1">
      <alignment horizontal="left" vertical="center" wrapText="1"/>
    </xf>
    <xf numFmtId="0" fontId="15" fillId="45" borderId="65" xfId="12" applyFont="1" applyFill="1" applyBorder="1" applyAlignment="1">
      <alignment horizontal="left" vertical="center" wrapText="1"/>
    </xf>
    <xf numFmtId="176" fontId="15" fillId="45" borderId="44" xfId="7" applyNumberFormat="1" applyFont="1" applyFill="1" applyBorder="1" applyAlignment="1">
      <alignment horizontal="center" vertical="center" wrapText="1"/>
    </xf>
    <xf numFmtId="0" fontId="15" fillId="45" borderId="90" xfId="12" applyFont="1" applyFill="1" applyBorder="1" applyAlignment="1">
      <alignment horizontal="center" vertical="center" wrapText="1"/>
    </xf>
    <xf numFmtId="0" fontId="15" fillId="45" borderId="91" xfId="12" applyFont="1" applyFill="1" applyBorder="1" applyAlignment="1">
      <alignment horizontal="center" vertical="center" wrapText="1"/>
    </xf>
    <xf numFmtId="0" fontId="15" fillId="45" borderId="52" xfId="12" applyFont="1" applyFill="1" applyBorder="1" applyAlignment="1">
      <alignment horizontal="center" vertical="center" wrapText="1"/>
    </xf>
    <xf numFmtId="0" fontId="13" fillId="2" borderId="30" xfId="12" applyFont="1" applyFill="1" applyBorder="1" applyAlignment="1">
      <alignment horizontal="center" vertical="center" wrapText="1"/>
    </xf>
    <xf numFmtId="0" fontId="13" fillId="2" borderId="88" xfId="12" applyFont="1" applyFill="1" applyBorder="1" applyAlignment="1">
      <alignment horizontal="center" vertical="center" wrapText="1"/>
    </xf>
    <xf numFmtId="4" fontId="6" fillId="2" borderId="87" xfId="12" applyNumberFormat="1" applyFont="1" applyFill="1" applyBorder="1" applyAlignment="1">
      <alignment horizontal="right" vertical="center" wrapText="1"/>
    </xf>
    <xf numFmtId="4" fontId="6" fillId="2" borderId="13" xfId="12" applyNumberFormat="1" applyFont="1" applyFill="1" applyBorder="1" applyAlignment="1">
      <alignment horizontal="right" vertical="center" wrapText="1"/>
    </xf>
    <xf numFmtId="4" fontId="6" fillId="2" borderId="86" xfId="12" applyNumberFormat="1" applyFont="1" applyFill="1" applyBorder="1" applyAlignment="1">
      <alignment horizontal="right" vertical="center" wrapText="1"/>
    </xf>
    <xf numFmtId="4" fontId="6" fillId="2" borderId="60" xfId="12" applyNumberFormat="1" applyFont="1" applyFill="1" applyBorder="1" applyAlignment="1">
      <alignment horizontal="right" vertical="center" wrapText="1"/>
    </xf>
    <xf numFmtId="0" fontId="15" fillId="45" borderId="62" xfId="12" applyFont="1" applyFill="1" applyBorder="1" applyAlignment="1">
      <alignment horizontal="center" vertical="center" wrapText="1"/>
    </xf>
    <xf numFmtId="0" fontId="15" fillId="45" borderId="63" xfId="12" applyFont="1" applyFill="1" applyBorder="1" applyAlignment="1">
      <alignment horizontal="center" vertical="center" wrapText="1"/>
    </xf>
    <xf numFmtId="0" fontId="15" fillId="45" borderId="64" xfId="12" applyFont="1" applyFill="1" applyBorder="1" applyAlignment="1">
      <alignment horizontal="center" vertical="center" wrapText="1"/>
    </xf>
    <xf numFmtId="0" fontId="6" fillId="2" borderId="53" xfId="12" applyFont="1" applyFill="1" applyBorder="1" applyAlignment="1">
      <alignment horizontal="right" vertical="center"/>
    </xf>
    <xf numFmtId="0" fontId="6" fillId="2" borderId="54" xfId="12" applyFont="1" applyFill="1" applyBorder="1" applyAlignment="1">
      <alignment horizontal="right" vertical="center"/>
    </xf>
    <xf numFmtId="0" fontId="6" fillId="2" borderId="36" xfId="12" applyFont="1" applyFill="1" applyBorder="1" applyAlignment="1">
      <alignment horizontal="right" vertical="center"/>
    </xf>
    <xf numFmtId="0" fontId="15" fillId="45" borderId="43" xfId="12" applyFont="1" applyFill="1" applyBorder="1" applyAlignment="1">
      <alignment horizontal="center" vertical="center" wrapText="1"/>
    </xf>
    <xf numFmtId="0" fontId="15" fillId="45" borderId="44" xfId="12" applyFont="1" applyFill="1" applyBorder="1" applyAlignment="1">
      <alignment horizontal="center" vertical="center" wrapText="1"/>
    </xf>
    <xf numFmtId="0" fontId="6" fillId="2" borderId="56" xfId="12" applyFont="1" applyFill="1" applyBorder="1" applyAlignment="1">
      <alignment horizontal="right" vertical="center"/>
    </xf>
    <xf numFmtId="0" fontId="6" fillId="2" borderId="57" xfId="12" applyFont="1" applyFill="1" applyBorder="1" applyAlignment="1">
      <alignment horizontal="right" vertical="center"/>
    </xf>
    <xf numFmtId="0" fontId="6" fillId="2" borderId="92" xfId="12" applyFont="1" applyFill="1" applyBorder="1" applyAlignment="1">
      <alignment horizontal="right" vertical="center"/>
    </xf>
    <xf numFmtId="0" fontId="6" fillId="2" borderId="57" xfId="12" applyFont="1" applyFill="1" applyBorder="1" applyAlignment="1">
      <alignment horizontal="center" vertical="center"/>
    </xf>
    <xf numFmtId="0" fontId="6" fillId="2" borderId="94" xfId="12" applyFont="1" applyFill="1" applyBorder="1" applyAlignment="1">
      <alignment horizontal="center" vertical="center"/>
    </xf>
    <xf numFmtId="0" fontId="6" fillId="45" borderId="86" xfId="12" applyFont="1" applyFill="1" applyBorder="1" applyAlignment="1">
      <alignment horizontal="center" vertical="center" wrapText="1"/>
    </xf>
    <xf numFmtId="0" fontId="6" fillId="45" borderId="60" xfId="12" applyFont="1" applyFill="1" applyBorder="1" applyAlignment="1">
      <alignment horizontal="center" vertical="center" wrapText="1"/>
    </xf>
    <xf numFmtId="0" fontId="15" fillId="45" borderId="86" xfId="12" applyFont="1" applyFill="1" applyBorder="1" applyAlignment="1">
      <alignment horizontal="center" vertical="center" wrapText="1"/>
    </xf>
    <xf numFmtId="0" fontId="15" fillId="45" borderId="87" xfId="12" applyFont="1" applyFill="1" applyBorder="1" applyAlignment="1">
      <alignment horizontal="center" vertical="center" wrapText="1"/>
    </xf>
    <xf numFmtId="0" fontId="15" fillId="45" borderId="60" xfId="12" applyFont="1" applyFill="1" applyBorder="1" applyAlignment="1">
      <alignment horizontal="center" vertical="center" wrapText="1"/>
    </xf>
    <xf numFmtId="0" fontId="15" fillId="45" borderId="13" xfId="12" applyFont="1" applyFill="1" applyBorder="1" applyAlignment="1">
      <alignment horizontal="center" vertical="center" wrapText="1"/>
    </xf>
    <xf numFmtId="0" fontId="15" fillId="45" borderId="60" xfId="12" applyFont="1" applyFill="1" applyBorder="1" applyAlignment="1">
      <alignment horizontal="center" vertical="center"/>
    </xf>
    <xf numFmtId="0" fontId="15" fillId="45" borderId="13" xfId="12" applyFont="1" applyFill="1" applyBorder="1" applyAlignment="1">
      <alignment horizontal="center" vertical="center"/>
    </xf>
    <xf numFmtId="0" fontId="7" fillId="45" borderId="74" xfId="0" applyFont="1" applyFill="1" applyBorder="1" applyAlignment="1" applyProtection="1">
      <alignment horizontal="center" vertical="center" wrapText="1"/>
      <protection hidden="1"/>
    </xf>
    <xf numFmtId="0" fontId="7" fillId="45" borderId="89" xfId="0" applyFont="1" applyFill="1" applyBorder="1" applyAlignment="1" applyProtection="1">
      <alignment horizontal="center" vertical="center" wrapText="1"/>
      <protection hidden="1"/>
    </xf>
    <xf numFmtId="0" fontId="7" fillId="45" borderId="68" xfId="0" applyFont="1" applyFill="1" applyBorder="1" applyAlignment="1" applyProtection="1">
      <alignment horizontal="center" vertical="center" wrapText="1"/>
      <protection hidden="1"/>
    </xf>
    <xf numFmtId="0" fontId="7" fillId="45" borderId="78" xfId="0" applyFont="1" applyFill="1" applyBorder="1" applyAlignment="1" applyProtection="1">
      <alignment horizontal="center" vertical="center" wrapText="1"/>
      <protection hidden="1"/>
    </xf>
    <xf numFmtId="0" fontId="7" fillId="45" borderId="96" xfId="0" applyFont="1" applyFill="1" applyBorder="1" applyAlignment="1" applyProtection="1">
      <alignment horizontal="center" vertical="center" wrapText="1"/>
      <protection hidden="1"/>
    </xf>
    <xf numFmtId="0" fontId="7" fillId="45" borderId="97" xfId="0" applyFont="1" applyFill="1" applyBorder="1" applyAlignment="1" applyProtection="1">
      <alignment horizontal="center" vertical="center" wrapText="1"/>
      <protection hidden="1"/>
    </xf>
    <xf numFmtId="172" fontId="10" fillId="0" borderId="0" xfId="0" applyNumberFormat="1" applyFont="1" applyProtection="1">
      <protection hidden="1"/>
    </xf>
    <xf numFmtId="0" fontId="21" fillId="0" borderId="0" xfId="0" applyFont="1" applyAlignment="1" applyProtection="1">
      <alignment horizontal="center" vertical="center"/>
      <protection hidden="1"/>
    </xf>
    <xf numFmtId="0" fontId="10" fillId="0" borderId="0" xfId="0" applyFont="1" applyAlignment="1" applyProtection="1">
      <alignment horizontal="center" vertical="center" textRotation="90"/>
      <protection hidden="1"/>
    </xf>
    <xf numFmtId="0" fontId="15" fillId="45" borderId="14" xfId="0" applyFont="1" applyFill="1" applyBorder="1" applyAlignment="1" applyProtection="1">
      <alignment horizontal="center" vertical="center"/>
      <protection hidden="1"/>
    </xf>
    <xf numFmtId="0" fontId="15" fillId="45" borderId="98" xfId="0" applyFont="1" applyFill="1" applyBorder="1" applyAlignment="1" applyProtection="1">
      <alignment horizontal="center" vertical="center"/>
      <protection hidden="1"/>
    </xf>
    <xf numFmtId="0" fontId="15" fillId="45" borderId="73" xfId="0" applyFont="1" applyFill="1" applyBorder="1" applyAlignment="1" applyProtection="1">
      <alignment horizontal="center" vertical="center"/>
      <protection hidden="1"/>
    </xf>
    <xf numFmtId="0" fontId="15" fillId="45" borderId="6" xfId="0" applyFont="1" applyFill="1" applyBorder="1" applyAlignment="1" applyProtection="1">
      <alignment horizontal="center" vertical="center"/>
      <protection hidden="1"/>
    </xf>
    <xf numFmtId="170" fontId="59" fillId="45" borderId="70" xfId="0" applyNumberFormat="1" applyFont="1" applyFill="1" applyBorder="1" applyAlignment="1" applyProtection="1">
      <alignment horizontal="center" vertical="center"/>
      <protection hidden="1"/>
    </xf>
    <xf numFmtId="170" fontId="59" fillId="45" borderId="60" xfId="0" applyNumberFormat="1" applyFont="1" applyFill="1" applyBorder="1" applyAlignment="1" applyProtection="1">
      <alignment horizontal="center" vertical="center"/>
      <protection hidden="1"/>
    </xf>
    <xf numFmtId="170" fontId="59" fillId="45" borderId="105" xfId="0" applyNumberFormat="1" applyFont="1" applyFill="1" applyBorder="1" applyAlignment="1" applyProtection="1">
      <alignment horizontal="center" vertical="center"/>
      <protection hidden="1"/>
    </xf>
    <xf numFmtId="170" fontId="59" fillId="45" borderId="7" xfId="0" applyNumberFormat="1" applyFont="1" applyFill="1" applyBorder="1" applyAlignment="1" applyProtection="1">
      <alignment horizontal="center" vertical="center"/>
      <protection hidden="1"/>
    </xf>
    <xf numFmtId="0" fontId="7" fillId="45" borderId="74" xfId="0" applyFont="1" applyFill="1" applyBorder="1" applyAlignment="1" applyProtection="1">
      <alignment horizontal="center" vertical="center" wrapText="1"/>
      <protection locked="0"/>
    </xf>
    <xf numFmtId="0" fontId="7" fillId="45" borderId="77" xfId="0" applyFont="1" applyFill="1" applyBorder="1" applyAlignment="1" applyProtection="1">
      <alignment horizontal="center" vertical="center" wrapText="1"/>
      <protection hidden="1"/>
    </xf>
    <xf numFmtId="0" fontId="7" fillId="45" borderId="95" xfId="0" applyFont="1" applyFill="1" applyBorder="1" applyAlignment="1" applyProtection="1">
      <alignment horizontal="center" vertical="center" wrapText="1"/>
      <protection hidden="1"/>
    </xf>
    <xf numFmtId="0" fontId="7" fillId="45" borderId="74" xfId="12" applyFont="1" applyFill="1" applyBorder="1" applyAlignment="1">
      <alignment horizontal="center" vertical="center" wrapText="1"/>
    </xf>
    <xf numFmtId="0" fontId="7" fillId="45" borderId="89" xfId="12" applyFont="1" applyFill="1" applyBorder="1" applyAlignment="1">
      <alignment horizontal="center" vertical="center" wrapText="1"/>
    </xf>
    <xf numFmtId="0" fontId="65" fillId="0" borderId="0" xfId="0" applyFont="1" applyAlignment="1">
      <alignment horizontal="justify" vertical="center"/>
    </xf>
    <xf numFmtId="0" fontId="66" fillId="48" borderId="43" xfId="0" applyFont="1" applyFill="1" applyBorder="1" applyAlignment="1">
      <alignment horizontal="center" vertical="center" wrapText="1"/>
    </xf>
    <xf numFmtId="0" fontId="66" fillId="48" borderId="44" xfId="0" applyFont="1" applyFill="1" applyBorder="1" applyAlignment="1">
      <alignment horizontal="center" vertical="center" wrapText="1"/>
    </xf>
    <xf numFmtId="0" fontId="66" fillId="48" borderId="71" xfId="0" applyFont="1" applyFill="1" applyBorder="1" applyAlignment="1">
      <alignment horizontal="center" vertical="center" wrapText="1"/>
    </xf>
    <xf numFmtId="0" fontId="66" fillId="48" borderId="41" xfId="0" applyFont="1" applyFill="1" applyBorder="1" applyAlignment="1">
      <alignment horizontal="center" vertical="center" wrapText="1"/>
    </xf>
    <xf numFmtId="0" fontId="66" fillId="48" borderId="43" xfId="0" applyFont="1" applyFill="1" applyBorder="1" applyAlignment="1">
      <alignment horizontal="center" vertical="center"/>
    </xf>
    <xf numFmtId="0" fontId="66" fillId="48" borderId="44" xfId="0" applyFont="1" applyFill="1" applyBorder="1" applyAlignment="1">
      <alignment horizontal="center" vertical="center"/>
    </xf>
    <xf numFmtId="0" fontId="66" fillId="48" borderId="71" xfId="0" applyFont="1" applyFill="1" applyBorder="1" applyAlignment="1">
      <alignment horizontal="center" vertical="center"/>
    </xf>
    <xf numFmtId="0" fontId="66" fillId="48" borderId="127" xfId="0" applyFont="1" applyFill="1" applyBorder="1" applyAlignment="1">
      <alignment horizontal="center" vertical="center" wrapText="1"/>
    </xf>
    <xf numFmtId="0" fontId="66" fillId="48" borderId="128" xfId="0" applyFont="1" applyFill="1" applyBorder="1" applyAlignment="1">
      <alignment horizontal="center" vertical="center" wrapText="1"/>
    </xf>
    <xf numFmtId="0" fontId="67" fillId="0" borderId="127" xfId="0" applyFont="1" applyBorder="1" applyAlignment="1">
      <alignment horizontal="center" vertical="center"/>
    </xf>
    <xf numFmtId="0" fontId="67" fillId="0" borderId="128" xfId="0" applyFont="1" applyBorder="1" applyAlignment="1">
      <alignment vertical="center" wrapText="1"/>
    </xf>
    <xf numFmtId="0" fontId="66" fillId="0" borderId="128" xfId="0" applyFont="1" applyBorder="1" applyAlignment="1">
      <alignment horizontal="center" vertical="center" wrapText="1"/>
    </xf>
    <xf numFmtId="0" fontId="66" fillId="0" borderId="128" xfId="0" applyFont="1" applyBorder="1" applyAlignment="1">
      <alignment horizontal="center" vertical="center"/>
    </xf>
    <xf numFmtId="0" fontId="66" fillId="0" borderId="128" xfId="0" applyFont="1" applyFill="1" applyBorder="1" applyAlignment="1">
      <alignment horizontal="center" vertical="center" wrapText="1"/>
    </xf>
    <xf numFmtId="0" fontId="68" fillId="0" borderId="128" xfId="0" applyFont="1" applyFill="1" applyBorder="1" applyAlignment="1">
      <alignment horizontal="center" vertical="center" wrapText="1"/>
    </xf>
    <xf numFmtId="0" fontId="4" fillId="43" borderId="106" xfId="0" applyFont="1" applyFill="1" applyBorder="1" applyAlignment="1" applyProtection="1">
      <alignment horizontal="center" vertical="center" wrapText="1"/>
      <protection hidden="1"/>
    </xf>
  </cellXfs>
  <cellStyles count="230">
    <cellStyle name="20% - Accent1" xfId="21"/>
    <cellStyle name="20% - Accent2" xfId="22"/>
    <cellStyle name="20% - Accent3" xfId="23"/>
    <cellStyle name="20% - Accent4" xfId="24"/>
    <cellStyle name="20% - Accent5" xfId="25"/>
    <cellStyle name="20% - Accent6" xfId="26"/>
    <cellStyle name="2-decimales" xfId="27"/>
    <cellStyle name="40% - Accent1" xfId="28"/>
    <cellStyle name="40% - Accent2" xfId="29"/>
    <cellStyle name="40% - Accent3" xfId="30"/>
    <cellStyle name="40% - Accent4" xfId="31"/>
    <cellStyle name="40% - Accent5" xfId="32"/>
    <cellStyle name="40% - Accent6" xfId="33"/>
    <cellStyle name="60% - Accent1" xfId="34"/>
    <cellStyle name="60% - Accent2" xfId="35"/>
    <cellStyle name="60% - Accent3" xfId="36"/>
    <cellStyle name="60% - Accent4" xfId="37"/>
    <cellStyle name="60% - Accent5" xfId="38"/>
    <cellStyle name="60% - Accent6" xfId="39"/>
    <cellStyle name="Accent1" xfId="40"/>
    <cellStyle name="Accent2" xfId="41"/>
    <cellStyle name="Accent3" xfId="42"/>
    <cellStyle name="Accent4" xfId="43"/>
    <cellStyle name="Accent5" xfId="44"/>
    <cellStyle name="Accent6" xfId="45"/>
    <cellStyle name="Bad" xfId="46"/>
    <cellStyle name="Calculation" xfId="47"/>
    <cellStyle name="Check Cell" xfId="48"/>
    <cellStyle name="CIENTOS" xfId="49"/>
    <cellStyle name="CIENTOS 2D" xfId="50"/>
    <cellStyle name="CIENTOS 3D" xfId="51"/>
    <cellStyle name="CIENTOS 4D" xfId="52"/>
    <cellStyle name="CIENTOS_ANALISIS UNITARIO CONCRETO DE 3000 PSI Y VARIOS (ACERO GRADO 60)" xfId="53"/>
    <cellStyle name="Comma" xfId="54"/>
    <cellStyle name="Comma0" xfId="55"/>
    <cellStyle name="Comma0 - Modelo5" xfId="56"/>
    <cellStyle name="Comma1 - Modelo1" xfId="57"/>
    <cellStyle name="Curren - Modelo2" xfId="58"/>
    <cellStyle name="Currency" xfId="59"/>
    <cellStyle name="Currency0" xfId="60"/>
    <cellStyle name="Date" xfId="61"/>
    <cellStyle name="Énfasis 1" xfId="62"/>
    <cellStyle name="Énfasis 2" xfId="63"/>
    <cellStyle name="Énfasis 3" xfId="64"/>
    <cellStyle name="Énfasis1 - 20%" xfId="65"/>
    <cellStyle name="Énfasis1 - 40%" xfId="66"/>
    <cellStyle name="Énfasis1 - 60%" xfId="67"/>
    <cellStyle name="Énfasis2 - 20%" xfId="68"/>
    <cellStyle name="Énfasis2 - 40%" xfId="69"/>
    <cellStyle name="Énfasis2 - 60%" xfId="70"/>
    <cellStyle name="Énfasis3 - 20%" xfId="71"/>
    <cellStyle name="Énfasis3 - 40%" xfId="72"/>
    <cellStyle name="Énfasis3 - 60%" xfId="73"/>
    <cellStyle name="Énfasis4 - 20%" xfId="74"/>
    <cellStyle name="Énfasis4 - 40%" xfId="75"/>
    <cellStyle name="Énfasis4 - 60%" xfId="76"/>
    <cellStyle name="Énfasis5 - 20%" xfId="77"/>
    <cellStyle name="Énfasis5 - 40%" xfId="78"/>
    <cellStyle name="Énfasis5 - 60%" xfId="79"/>
    <cellStyle name="Énfasis6 - 20%" xfId="80"/>
    <cellStyle name="Énfasis6 - 40%" xfId="81"/>
    <cellStyle name="Énfasis6 - 60%" xfId="82"/>
    <cellStyle name="ENTERO" xfId="83"/>
    <cellStyle name="Estilo 1" xfId="1"/>
    <cellStyle name="Euro" xfId="2"/>
    <cellStyle name="Euro 2" xfId="84"/>
    <cellStyle name="Euro 3" xfId="212"/>
    <cellStyle name="Explanatory Text" xfId="85"/>
    <cellStyle name="F2" xfId="86"/>
    <cellStyle name="F3" xfId="87"/>
    <cellStyle name="F4" xfId="88"/>
    <cellStyle name="F5" xfId="89"/>
    <cellStyle name="F6" xfId="90"/>
    <cellStyle name="F7" xfId="91"/>
    <cellStyle name="F8" xfId="92"/>
    <cellStyle name="Fixed" xfId="93"/>
    <cellStyle name="Good" xfId="94"/>
    <cellStyle name="GRADOSMINSEG" xfId="95"/>
    <cellStyle name="Heading 1" xfId="96"/>
    <cellStyle name="Heading 2" xfId="97"/>
    <cellStyle name="Heading 3" xfId="98"/>
    <cellStyle name="Heading 4" xfId="99"/>
    <cellStyle name="Heading1" xfId="100"/>
    <cellStyle name="Heading2" xfId="101"/>
    <cellStyle name="Hipervínculo 2" xfId="102"/>
    <cellStyle name="Input" xfId="103"/>
    <cellStyle name="Linked Cell" xfId="104"/>
    <cellStyle name="MILE DE MILLONES" xfId="105"/>
    <cellStyle name="MILES" xfId="106"/>
    <cellStyle name="Millares" xfId="3" builtinId="3"/>
    <cellStyle name="Millares [0]" xfId="229" builtinId="6"/>
    <cellStyle name="Millares [0] 2" xfId="107"/>
    <cellStyle name="Millares [0] 2 2" xfId="214"/>
    <cellStyle name="Millares [0] 3" xfId="108"/>
    <cellStyle name="Millares [0] 3 2" xfId="109"/>
    <cellStyle name="Millares [0] 4" xfId="110"/>
    <cellStyle name="Millares [0] 4 2" xfId="111"/>
    <cellStyle name="Millares [0] 5" xfId="112"/>
    <cellStyle name="Millares [0] 5 2" xfId="113"/>
    <cellStyle name="Millares 10" xfId="114"/>
    <cellStyle name="Millares 10 2" xfId="115"/>
    <cellStyle name="Millares 10 3" xfId="116"/>
    <cellStyle name="Millares 10 4" xfId="117"/>
    <cellStyle name="Millares 10 5" xfId="118"/>
    <cellStyle name="Millares 10 6" xfId="119"/>
    <cellStyle name="Millares 11" xfId="120"/>
    <cellStyle name="Millares 12" xfId="121"/>
    <cellStyle name="Millares 13" xfId="122"/>
    <cellStyle name="Millares 14" xfId="123"/>
    <cellStyle name="Millares 15" xfId="124"/>
    <cellStyle name="Millares 16" xfId="125"/>
    <cellStyle name="Millares 17" xfId="126"/>
    <cellStyle name="Millares 18" xfId="127"/>
    <cellStyle name="Millares 19" xfId="128"/>
    <cellStyle name="Millares 2" xfId="4"/>
    <cellStyle name="Millares 2 2" xfId="129"/>
    <cellStyle name="Millares 2 2 2" xfId="217"/>
    <cellStyle name="Millares 2 3" xfId="130"/>
    <cellStyle name="Millares 2 4" xfId="19"/>
    <cellStyle name="Millares 2 5" xfId="216"/>
    <cellStyle name="Millares 20" xfId="131"/>
    <cellStyle name="Millares 21" xfId="132"/>
    <cellStyle name="Millares 22" xfId="133"/>
    <cellStyle name="Millares 23" xfId="134"/>
    <cellStyle name="Millares 24" xfId="135"/>
    <cellStyle name="Millares 25" xfId="136"/>
    <cellStyle name="Millares 26" xfId="137"/>
    <cellStyle name="Millares 27" xfId="138"/>
    <cellStyle name="Millares 28" xfId="139"/>
    <cellStyle name="Millares 29" xfId="140"/>
    <cellStyle name="Millares 3" xfId="5"/>
    <cellStyle name="Millares 3 2" xfId="142"/>
    <cellStyle name="Millares 3 3" xfId="143"/>
    <cellStyle name="Millares 3 4" xfId="141"/>
    <cellStyle name="Millares 3_6._Presupuesto General Señalización" xfId="144"/>
    <cellStyle name="Millares 30" xfId="145"/>
    <cellStyle name="Millares 31" xfId="146"/>
    <cellStyle name="Millares 32" xfId="147"/>
    <cellStyle name="Millares 33" xfId="148"/>
    <cellStyle name="Millares 34" xfId="149"/>
    <cellStyle name="Millares 35" xfId="150"/>
    <cellStyle name="Millares 36" xfId="16"/>
    <cellStyle name="Millares 37" xfId="184"/>
    <cellStyle name="Millares 38" xfId="223"/>
    <cellStyle name="Millares 39" xfId="213"/>
    <cellStyle name="Millares 4" xfId="151"/>
    <cellStyle name="Millares 4 2" xfId="152"/>
    <cellStyle name="Millares 40" xfId="215"/>
    <cellStyle name="Millares 5" xfId="153"/>
    <cellStyle name="Millares 5 2" xfId="154"/>
    <cellStyle name="Millares 6" xfId="155"/>
    <cellStyle name="Millares 6 2" xfId="156"/>
    <cellStyle name="Millares 7" xfId="157"/>
    <cellStyle name="Millares 7 2" xfId="218"/>
    <cellStyle name="Millares 8" xfId="158"/>
    <cellStyle name="Millares 8 2" xfId="159"/>
    <cellStyle name="Millares 8 3" xfId="160"/>
    <cellStyle name="Millares 8 4" xfId="161"/>
    <cellStyle name="Millares 8 5" xfId="162"/>
    <cellStyle name="Millares 8 6" xfId="163"/>
    <cellStyle name="Millares 8 7" xfId="164"/>
    <cellStyle name="Millares 9" xfId="165"/>
    <cellStyle name="Millares_PtosLicitacionesSRTaño03" xfId="6"/>
    <cellStyle name="MILLONES" xfId="166"/>
    <cellStyle name="Moneda" xfId="7" builtinId="4"/>
    <cellStyle name="Moneda [00]" xfId="167"/>
    <cellStyle name="Moneda [2]" xfId="168"/>
    <cellStyle name="Moneda 12" xfId="169"/>
    <cellStyle name="Moneda 2" xfId="8"/>
    <cellStyle name="Moneda 2 2" xfId="170"/>
    <cellStyle name="Moneda 2 3" xfId="225"/>
    <cellStyle name="Moneda 3" xfId="171"/>
    <cellStyle name="Moneda 3 2" xfId="172"/>
    <cellStyle name="Moneda 3 3" xfId="220"/>
    <cellStyle name="Moneda 4" xfId="173"/>
    <cellStyle name="Moneda 5" xfId="17"/>
    <cellStyle name="Moneda 6" xfId="182"/>
    <cellStyle name="Moneda 7" xfId="222"/>
    <cellStyle name="Moneda 8" xfId="219"/>
    <cellStyle name="Moneda 9" xfId="211"/>
    <cellStyle name="Moneda_PtosLicitacionesSRTaño03" xfId="9"/>
    <cellStyle name="No. punto" xfId="174"/>
    <cellStyle name="Normal" xfId="0" builtinId="0"/>
    <cellStyle name="Normal 10" xfId="227"/>
    <cellStyle name="Normal 2" xfId="10"/>
    <cellStyle name="Normal 2 10" xfId="175"/>
    <cellStyle name="Normal 2 10 2" xfId="176"/>
    <cellStyle name="Normal 2 10 3" xfId="177"/>
    <cellStyle name="Normal 2 2" xfId="11"/>
    <cellStyle name="Normal 2 2 2" xfId="178"/>
    <cellStyle name="Normal 2 3" xfId="179"/>
    <cellStyle name="Normal 2 4" xfId="180"/>
    <cellStyle name="Normal 2_INFORME CTO. 52-2009 CONSORCIO H.L." xfId="181"/>
    <cellStyle name="Normal 3" xfId="12"/>
    <cellStyle name="Normal 3 2" xfId="183"/>
    <cellStyle name="Normal 4" xfId="13"/>
    <cellStyle name="Normal 4 2" xfId="221"/>
    <cellStyle name="Normal 5" xfId="185"/>
    <cellStyle name="Normal 5 2" xfId="186"/>
    <cellStyle name="Normal 5 3" xfId="187"/>
    <cellStyle name="Normal 6" xfId="15"/>
    <cellStyle name="Normal 7" xfId="20"/>
    <cellStyle name="Normal 8" xfId="224"/>
    <cellStyle name="Normal 9" xfId="226"/>
    <cellStyle name="Note" xfId="188"/>
    <cellStyle name="Output" xfId="189"/>
    <cellStyle name="Percen - Modelo3" xfId="190"/>
    <cellStyle name="Percent" xfId="191"/>
    <cellStyle name="Porcentaje" xfId="228" builtinId="5"/>
    <cellStyle name="Porcentaje 2" xfId="192"/>
    <cellStyle name="Porcentaje 3" xfId="18"/>
    <cellStyle name="Porcentual 2" xfId="14"/>
    <cellStyle name="Porcentual 2 2" xfId="193"/>
    <cellStyle name="Porcentual 2 2 2" xfId="194"/>
    <cellStyle name="Porcentual 2 3" xfId="195"/>
    <cellStyle name="Porcentual 2 4" xfId="196"/>
    <cellStyle name="Porcentual 2 5" xfId="197"/>
    <cellStyle name="Porcentual 2 6" xfId="198"/>
    <cellStyle name="Porcentual 3" xfId="199"/>
    <cellStyle name="Porcentual 3 2" xfId="200"/>
    <cellStyle name="Porcentual 4" xfId="201"/>
    <cellStyle name="Porcentual 4 2" xfId="202"/>
    <cellStyle name="Porcentual 5" xfId="203"/>
    <cellStyle name="Porcentual 5 2" xfId="204"/>
    <cellStyle name="Porcentual 6" xfId="205"/>
    <cellStyle name="Porcentual 7" xfId="206"/>
    <cellStyle name="Title" xfId="207"/>
    <cellStyle name="TITULO" xfId="208"/>
    <cellStyle name="Título de hoja" xfId="209"/>
    <cellStyle name="Warning Text" xfId="210"/>
  </cellStyles>
  <dxfs count="175">
    <dxf>
      <font>
        <b/>
        <i val="0"/>
      </font>
      <fill>
        <patternFill>
          <bgColor rgb="FFFFCCFF"/>
        </patternFill>
      </fill>
    </dxf>
    <dxf>
      <font>
        <b/>
        <i val="0"/>
      </font>
      <fill>
        <patternFill>
          <bgColor theme="0" tint="-0.14996795556505021"/>
        </patternFill>
      </fill>
    </dxf>
    <dxf>
      <font>
        <b/>
        <i val="0"/>
      </font>
      <fill>
        <patternFill>
          <bgColor rgb="FFFFCCFF"/>
        </patternFill>
      </fill>
    </dxf>
    <dxf>
      <font>
        <b/>
        <i val="0"/>
      </font>
      <fill>
        <patternFill>
          <bgColor theme="0" tint="-0.14996795556505021"/>
        </patternFill>
      </fill>
    </dxf>
    <dxf>
      <font>
        <b/>
        <i val="0"/>
        <color auto="1"/>
        <name val="Cambria"/>
        <scheme val="none"/>
      </font>
      <fill>
        <patternFill>
          <bgColor rgb="FFFFCCFF"/>
        </patternFill>
      </fill>
    </dxf>
    <dxf>
      <font>
        <b/>
        <i val="0"/>
        <color auto="1"/>
        <name val="Cambria"/>
        <scheme val="none"/>
      </font>
      <fill>
        <patternFill>
          <bgColor rgb="FF66FFFF"/>
        </patternFill>
      </fill>
    </dxf>
    <dxf>
      <font>
        <b/>
        <i val="0"/>
      </font>
      <fill>
        <patternFill>
          <bgColor rgb="FFFFCCCC"/>
        </patternFill>
      </fill>
    </dxf>
    <dxf>
      <font>
        <b/>
        <i val="0"/>
      </font>
      <fill>
        <patternFill>
          <bgColor rgb="FFFF99CC"/>
        </patternFill>
      </fill>
    </dxf>
    <dxf>
      <font>
        <b/>
        <i val="0"/>
      </font>
      <fill>
        <patternFill>
          <bgColor theme="0" tint="-0.14996795556505021"/>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9"/>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auto="1"/>
      </font>
      <fill>
        <patternFill>
          <bgColor theme="0" tint="-0.14996795556505021"/>
        </patternFill>
      </fill>
    </dxf>
    <dxf>
      <font>
        <b/>
        <i val="0"/>
        <color rgb="FFFF0000"/>
      </font>
    </dxf>
    <dxf>
      <font>
        <b/>
        <i val="0"/>
        <color rgb="FFFF0000"/>
      </font>
    </dxf>
    <dxf>
      <font>
        <b/>
        <i val="0"/>
      </font>
      <fill>
        <patternFill>
          <bgColor rgb="FF99CCFF"/>
        </patternFill>
      </fill>
    </dxf>
    <dxf>
      <font>
        <b/>
        <i val="0"/>
      </font>
      <fill>
        <patternFill>
          <bgColor rgb="FFFFCCCC"/>
        </patternFill>
      </fill>
    </dxf>
    <dxf>
      <font>
        <b/>
        <i val="0"/>
      </font>
      <fill>
        <patternFill>
          <bgColor rgb="FFFF99CC"/>
        </patternFill>
      </fill>
    </dxf>
    <dxf>
      <font>
        <b/>
        <i val="0"/>
        <condense val="0"/>
        <extend val="0"/>
        <color indexed="10"/>
      </font>
      <fill>
        <patternFill>
          <bgColor indexed="45"/>
        </patternFill>
      </fill>
    </dxf>
    <dxf>
      <font>
        <b/>
        <i val="0"/>
        <color auto="1"/>
      </font>
      <fill>
        <patternFill>
          <bgColor theme="0" tint="-0.14996795556505021"/>
        </patternFill>
      </fill>
    </dxf>
  </dxfs>
  <tableStyles count="0" defaultTableStyle="TableStyleMedium9" defaultPivotStyle="PivotStyleLight16"/>
  <colors>
    <mruColors>
      <color rgb="FFB8CCE4"/>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tinyurl.com/y9xc8lab"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545024</xdr:colOff>
      <xdr:row>12</xdr:row>
      <xdr:rowOff>22860</xdr:rowOff>
    </xdr:from>
    <xdr:to>
      <xdr:col>5</xdr:col>
      <xdr:colOff>748436</xdr:colOff>
      <xdr:row>13</xdr:row>
      <xdr:rowOff>12277</xdr:rowOff>
    </xdr:to>
    <xdr:pic>
      <xdr:nvPicPr>
        <xdr:cNvPr id="423999" name="1 Imagen" descr="Exportable a varios formatos - TRM diaria">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64774" y="2573443"/>
          <a:ext cx="203412"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FF00"/>
  </sheetPr>
  <dimension ref="A1:Q41"/>
  <sheetViews>
    <sheetView showGridLines="0" topLeftCell="A11" zoomScale="130" zoomScaleNormal="130" workbookViewId="0">
      <selection activeCell="D27" sqref="D27"/>
    </sheetView>
  </sheetViews>
  <sheetFormatPr baseColWidth="10" defaultColWidth="11.42578125" defaultRowHeight="12.75" x14ac:dyDescent="0.2"/>
  <cols>
    <col min="1" max="1" width="3" style="2" customWidth="1"/>
    <col min="2" max="2" width="10.140625" style="2" customWidth="1"/>
    <col min="3" max="3" width="12.5703125" style="2" customWidth="1"/>
    <col min="4" max="4" width="35.5703125" style="2" customWidth="1"/>
    <col min="5" max="5" width="15.7109375" style="2" customWidth="1"/>
    <col min="6" max="6" width="13.5703125" style="17" hidden="1" customWidth="1"/>
    <col min="7" max="7" width="17.28515625" style="17" customWidth="1"/>
    <col min="8" max="8" width="18.85546875" style="17" hidden="1" customWidth="1"/>
    <col min="9" max="9" width="2.140625" style="17" hidden="1" customWidth="1"/>
    <col min="10" max="10" width="11.42578125" style="322"/>
    <col min="11" max="11" width="11.42578125" style="2"/>
    <col min="12" max="12" width="18" style="2" customWidth="1"/>
    <col min="13" max="13" width="9.28515625" style="2" customWidth="1"/>
    <col min="14" max="14" width="10" style="2" customWidth="1"/>
    <col min="15" max="15" width="9.28515625" style="2" customWidth="1"/>
    <col min="16" max="16" width="10.5703125" style="2" customWidth="1"/>
    <col min="17" max="17" width="12" style="2" customWidth="1"/>
    <col min="18" max="18" width="13.28515625" style="2" customWidth="1"/>
    <col min="19" max="16384" width="11.42578125" style="2"/>
  </cols>
  <sheetData>
    <row r="1" spans="1:17" s="33" customFormat="1" ht="20.100000000000001" customHeight="1" x14ac:dyDescent="0.25">
      <c r="B1" s="329" t="s">
        <v>100</v>
      </c>
      <c r="C1" s="329"/>
      <c r="D1" s="329"/>
      <c r="E1" s="329"/>
      <c r="F1" s="329"/>
      <c r="G1" s="329"/>
      <c r="H1" s="329"/>
      <c r="I1" s="329"/>
      <c r="J1" s="321"/>
    </row>
    <row r="2" spans="1:17" s="33" customFormat="1" ht="20.100000000000001" customHeight="1" x14ac:dyDescent="0.25">
      <c r="B2" s="330"/>
      <c r="C2" s="330"/>
      <c r="D2" s="330"/>
      <c r="E2" s="330"/>
      <c r="F2" s="330"/>
      <c r="G2" s="330"/>
      <c r="H2" s="330"/>
      <c r="I2" s="330"/>
      <c r="J2" s="321"/>
    </row>
    <row r="3" spans="1:17" s="33" customFormat="1" ht="36" customHeight="1" x14ac:dyDescent="0.25">
      <c r="B3" s="330" t="s">
        <v>101</v>
      </c>
      <c r="C3" s="330"/>
      <c r="D3" s="330"/>
      <c r="E3" s="330"/>
      <c r="F3" s="330"/>
      <c r="G3" s="330"/>
      <c r="H3" s="330"/>
      <c r="I3" s="330"/>
      <c r="J3" s="321"/>
    </row>
    <row r="4" spans="1:17" s="33" customFormat="1" ht="18" x14ac:dyDescent="0.25">
      <c r="B4" s="330"/>
      <c r="C4" s="330"/>
      <c r="D4" s="330"/>
      <c r="E4" s="330"/>
      <c r="F4" s="330"/>
      <c r="G4" s="330"/>
      <c r="H4" s="330"/>
      <c r="I4" s="330"/>
      <c r="J4" s="321"/>
    </row>
    <row r="5" spans="1:17" s="33" customFormat="1" ht="25.5" customHeight="1" x14ac:dyDescent="0.25">
      <c r="A5" s="38"/>
      <c r="B5" s="330" t="s">
        <v>102</v>
      </c>
      <c r="C5" s="330"/>
      <c r="D5" s="330"/>
      <c r="E5" s="330"/>
      <c r="F5" s="330"/>
      <c r="G5" s="330"/>
      <c r="H5" s="330"/>
      <c r="I5" s="330"/>
      <c r="J5" s="321"/>
    </row>
    <row r="6" spans="1:17" s="33" customFormat="1" ht="18.75" x14ac:dyDescent="0.25">
      <c r="A6" s="38"/>
      <c r="B6" s="250"/>
      <c r="C6" s="250"/>
      <c r="D6" s="251"/>
      <c r="E6" s="251"/>
      <c r="F6" s="251"/>
      <c r="G6" s="251"/>
      <c r="H6" s="251"/>
      <c r="I6" s="251"/>
      <c r="J6" s="321"/>
    </row>
    <row r="7" spans="1:17" s="33" customFormat="1" ht="46.5" customHeight="1" x14ac:dyDescent="0.25">
      <c r="A7" s="38"/>
      <c r="B7" s="330" t="s">
        <v>120</v>
      </c>
      <c r="C7" s="330"/>
      <c r="D7" s="330"/>
      <c r="E7" s="330"/>
      <c r="F7" s="330"/>
      <c r="G7" s="330"/>
      <c r="H7" s="330"/>
      <c r="I7" s="330"/>
      <c r="J7" s="321"/>
    </row>
    <row r="8" spans="1:17" s="33" customFormat="1" ht="18.75" x14ac:dyDescent="0.25">
      <c r="A8" s="38"/>
      <c r="B8" s="49"/>
      <c r="C8" s="49"/>
      <c r="D8" s="48"/>
      <c r="E8" s="48"/>
      <c r="F8" s="48"/>
      <c r="G8" s="48"/>
      <c r="H8" s="48"/>
      <c r="I8" s="48"/>
      <c r="J8" s="321"/>
    </row>
    <row r="9" spans="1:17" s="33" customFormat="1" ht="18.75" x14ac:dyDescent="0.25">
      <c r="A9" s="38"/>
      <c r="B9" s="49"/>
      <c r="C9" s="49"/>
      <c r="D9" s="48"/>
      <c r="E9" s="48"/>
      <c r="F9" s="48"/>
      <c r="G9" s="48"/>
      <c r="H9" s="48"/>
      <c r="I9" s="48"/>
      <c r="J9" s="321"/>
    </row>
    <row r="10" spans="1:17" ht="13.5" customHeight="1" x14ac:dyDescent="0.2">
      <c r="B10" s="347" t="s">
        <v>22</v>
      </c>
      <c r="C10" s="347"/>
      <c r="D10" s="347"/>
      <c r="E10" s="347"/>
      <c r="F10" s="347"/>
      <c r="G10" s="347"/>
      <c r="H10" s="347"/>
      <c r="I10" s="347"/>
      <c r="K10" s="40"/>
    </row>
    <row r="11" spans="1:17" ht="13.5" customHeight="1" thickBot="1" x14ac:dyDescent="0.25">
      <c r="B11" s="348" t="s">
        <v>16</v>
      </c>
      <c r="C11" s="348"/>
      <c r="D11" s="348"/>
      <c r="E11" s="348"/>
      <c r="F11" s="348"/>
      <c r="G11" s="348"/>
      <c r="H11" s="348"/>
      <c r="I11" s="348"/>
    </row>
    <row r="12" spans="1:17" ht="51" customHeight="1" thickTop="1" thickBot="1" x14ac:dyDescent="0.25">
      <c r="B12" s="341" t="s">
        <v>37</v>
      </c>
      <c r="C12" s="343" t="s">
        <v>80</v>
      </c>
      <c r="D12" s="339" t="s">
        <v>81</v>
      </c>
      <c r="E12" s="343" t="s">
        <v>17</v>
      </c>
      <c r="F12" s="349" t="s">
        <v>18</v>
      </c>
      <c r="G12" s="350"/>
      <c r="H12" s="257"/>
      <c r="I12" s="345"/>
    </row>
    <row r="13" spans="1:17" ht="18" customHeight="1" thickBot="1" x14ac:dyDescent="0.25">
      <c r="B13" s="342"/>
      <c r="C13" s="344"/>
      <c r="D13" s="340"/>
      <c r="E13" s="344"/>
      <c r="F13" s="256"/>
      <c r="G13" s="259" t="s">
        <v>74</v>
      </c>
      <c r="H13" s="258"/>
      <c r="I13" s="346"/>
      <c r="K13" s="452" t="s">
        <v>201</v>
      </c>
      <c r="L13" s="453"/>
      <c r="M13" s="453"/>
      <c r="N13" s="453"/>
      <c r="O13" s="453"/>
      <c r="P13" s="453"/>
      <c r="Q13" s="454"/>
    </row>
    <row r="14" spans="1:17" ht="14.25" customHeight="1" thickBot="1" x14ac:dyDescent="0.25">
      <c r="B14" s="51"/>
      <c r="C14" s="77"/>
      <c r="D14" s="52"/>
      <c r="E14" s="52"/>
      <c r="F14" s="60"/>
      <c r="G14" s="316"/>
      <c r="H14" s="246"/>
      <c r="I14" s="60"/>
      <c r="K14" s="455" t="s">
        <v>202</v>
      </c>
      <c r="L14" s="455" t="s">
        <v>203</v>
      </c>
      <c r="M14" s="456" t="s">
        <v>204</v>
      </c>
      <c r="N14" s="457"/>
      <c r="O14" s="457"/>
      <c r="P14" s="457"/>
      <c r="Q14" s="458"/>
    </row>
    <row r="15" spans="1:17" ht="22.5" customHeight="1" thickBot="1" x14ac:dyDescent="0.25">
      <c r="B15" s="317">
        <v>1</v>
      </c>
      <c r="C15" s="317">
        <v>1</v>
      </c>
      <c r="D15" s="323" t="s">
        <v>171</v>
      </c>
      <c r="E15" s="319" t="s">
        <v>9</v>
      </c>
      <c r="F15" s="320"/>
      <c r="G15" s="320">
        <v>100</v>
      </c>
      <c r="H15" s="231"/>
      <c r="I15" s="161"/>
      <c r="J15" s="322">
        <f>COUNTIF($D$15:$D$35,D15)</f>
        <v>1</v>
      </c>
      <c r="K15" s="459"/>
      <c r="L15" s="459"/>
      <c r="M15" s="460" t="s">
        <v>205</v>
      </c>
      <c r="N15" s="460" t="s">
        <v>206</v>
      </c>
      <c r="O15" s="460" t="s">
        <v>207</v>
      </c>
      <c r="P15" s="460" t="s">
        <v>216</v>
      </c>
      <c r="Q15" s="460" t="s">
        <v>208</v>
      </c>
    </row>
    <row r="16" spans="1:17" ht="18.75" thickBot="1" x14ac:dyDescent="0.25">
      <c r="B16" s="317">
        <v>2</v>
      </c>
      <c r="C16" s="317">
        <v>2</v>
      </c>
      <c r="D16" s="323" t="s">
        <v>172</v>
      </c>
      <c r="E16" s="319" t="s">
        <v>9</v>
      </c>
      <c r="F16" s="320"/>
      <c r="G16" s="320">
        <v>100</v>
      </c>
      <c r="H16" s="231"/>
      <c r="I16" s="161"/>
      <c r="J16" s="322">
        <f t="shared" ref="J16:J35" si="0">COUNTIF($D$15:$D$35,D16)</f>
        <v>1</v>
      </c>
      <c r="K16" s="461">
        <v>1</v>
      </c>
      <c r="L16" s="462" t="s">
        <v>171</v>
      </c>
      <c r="M16" s="463" t="s">
        <v>209</v>
      </c>
      <c r="N16" s="463" t="s">
        <v>209</v>
      </c>
      <c r="O16" s="463" t="s">
        <v>209</v>
      </c>
      <c r="P16" s="463" t="s">
        <v>209</v>
      </c>
      <c r="Q16" s="463" t="s">
        <v>209</v>
      </c>
    </row>
    <row r="17" spans="2:17" ht="18.75" thickBot="1" x14ac:dyDescent="0.25">
      <c r="B17" s="317">
        <v>3</v>
      </c>
      <c r="C17" s="317">
        <v>3</v>
      </c>
      <c r="D17" s="318" t="s">
        <v>173</v>
      </c>
      <c r="E17" s="319" t="s">
        <v>13</v>
      </c>
      <c r="F17" s="320"/>
      <c r="G17" s="320">
        <v>100</v>
      </c>
      <c r="H17" s="231"/>
      <c r="I17" s="161"/>
      <c r="J17" s="322">
        <f t="shared" si="0"/>
        <v>1</v>
      </c>
      <c r="K17" s="461">
        <v>2</v>
      </c>
      <c r="L17" s="462" t="s">
        <v>172</v>
      </c>
      <c r="M17" s="463" t="s">
        <v>209</v>
      </c>
      <c r="N17" s="463" t="s">
        <v>209</v>
      </c>
      <c r="O17" s="463" t="s">
        <v>209</v>
      </c>
      <c r="P17" s="463" t="s">
        <v>210</v>
      </c>
      <c r="Q17" s="463" t="s">
        <v>210</v>
      </c>
    </row>
    <row r="18" spans="2:17" ht="22.5" thickBot="1" x14ac:dyDescent="0.25">
      <c r="B18" s="317">
        <v>4</v>
      </c>
      <c r="C18" s="317">
        <v>5</v>
      </c>
      <c r="D18" s="323" t="s">
        <v>174</v>
      </c>
      <c r="E18" s="319" t="s">
        <v>9</v>
      </c>
      <c r="F18" s="320"/>
      <c r="G18" s="320">
        <v>100</v>
      </c>
      <c r="H18" s="231"/>
      <c r="I18" s="161"/>
      <c r="J18" s="322">
        <f t="shared" si="0"/>
        <v>1</v>
      </c>
      <c r="K18" s="461">
        <v>3</v>
      </c>
      <c r="L18" s="462" t="s">
        <v>173</v>
      </c>
      <c r="M18" s="464" t="s">
        <v>210</v>
      </c>
      <c r="N18" s="464" t="s">
        <v>210</v>
      </c>
      <c r="O18" s="463" t="s">
        <v>211</v>
      </c>
      <c r="P18" s="463" t="s">
        <v>217</v>
      </c>
      <c r="Q18" s="464" t="s">
        <v>210</v>
      </c>
    </row>
    <row r="19" spans="2:17" ht="27.75" thickBot="1" x14ac:dyDescent="0.25">
      <c r="B19" s="317">
        <v>5</v>
      </c>
      <c r="C19" s="317">
        <v>6</v>
      </c>
      <c r="D19" s="323" t="s">
        <v>175</v>
      </c>
      <c r="E19" s="319" t="s">
        <v>9</v>
      </c>
      <c r="F19" s="320"/>
      <c r="G19" s="320">
        <v>100</v>
      </c>
      <c r="H19" s="231"/>
      <c r="I19" s="161"/>
      <c r="J19" s="322">
        <f t="shared" si="0"/>
        <v>1</v>
      </c>
      <c r="K19" s="461">
        <v>5</v>
      </c>
      <c r="L19" s="462" t="s">
        <v>174</v>
      </c>
      <c r="M19" s="463" t="s">
        <v>209</v>
      </c>
      <c r="N19" s="463" t="s">
        <v>209</v>
      </c>
      <c r="O19" s="463" t="s">
        <v>209</v>
      </c>
      <c r="P19" s="463" t="s">
        <v>209</v>
      </c>
      <c r="Q19" s="463" t="s">
        <v>209</v>
      </c>
    </row>
    <row r="20" spans="2:17" ht="18.75" thickBot="1" x14ac:dyDescent="0.25">
      <c r="B20" s="317">
        <v>6</v>
      </c>
      <c r="C20" s="317">
        <v>7</v>
      </c>
      <c r="D20" s="318" t="s">
        <v>176</v>
      </c>
      <c r="E20" s="319" t="s">
        <v>13</v>
      </c>
      <c r="F20" s="320"/>
      <c r="G20" s="320">
        <v>100</v>
      </c>
      <c r="H20" s="231"/>
      <c r="I20" s="161"/>
      <c r="J20" s="322">
        <f t="shared" si="0"/>
        <v>1</v>
      </c>
      <c r="K20" s="461">
        <v>6</v>
      </c>
      <c r="L20" s="462" t="s">
        <v>175</v>
      </c>
      <c r="M20" s="463" t="s">
        <v>209</v>
      </c>
      <c r="N20" s="463" t="s">
        <v>209</v>
      </c>
      <c r="O20" s="463" t="s">
        <v>209</v>
      </c>
      <c r="P20" s="463" t="s">
        <v>210</v>
      </c>
      <c r="Q20" s="463" t="s">
        <v>210</v>
      </c>
    </row>
    <row r="21" spans="2:17" ht="18.75" thickBot="1" x14ac:dyDescent="0.25">
      <c r="B21" s="317">
        <v>7</v>
      </c>
      <c r="C21" s="317">
        <v>8</v>
      </c>
      <c r="D21" s="323" t="s">
        <v>177</v>
      </c>
      <c r="E21" s="319" t="s">
        <v>9</v>
      </c>
      <c r="F21" s="320"/>
      <c r="G21" s="320">
        <v>100</v>
      </c>
      <c r="H21" s="231"/>
      <c r="I21" s="161"/>
      <c r="J21" s="322">
        <f t="shared" si="0"/>
        <v>1</v>
      </c>
      <c r="K21" s="461">
        <v>7</v>
      </c>
      <c r="L21" s="462" t="s">
        <v>176</v>
      </c>
      <c r="M21" s="464" t="s">
        <v>210</v>
      </c>
      <c r="N21" s="464" t="s">
        <v>212</v>
      </c>
      <c r="O21" s="463" t="s">
        <v>209</v>
      </c>
      <c r="P21" s="463" t="s">
        <v>210</v>
      </c>
      <c r="Q21" s="464" t="s">
        <v>210</v>
      </c>
    </row>
    <row r="22" spans="2:17" ht="13.5" thickBot="1" x14ac:dyDescent="0.25">
      <c r="B22" s="317">
        <v>8</v>
      </c>
      <c r="C22" s="317">
        <v>9</v>
      </c>
      <c r="D22" s="323" t="s">
        <v>178</v>
      </c>
      <c r="E22" s="319" t="s">
        <v>9</v>
      </c>
      <c r="F22" s="320"/>
      <c r="G22" s="320">
        <v>100</v>
      </c>
      <c r="H22" s="231"/>
      <c r="I22" s="161"/>
      <c r="J22" s="322">
        <f t="shared" si="0"/>
        <v>1</v>
      </c>
      <c r="K22" s="461">
        <v>8</v>
      </c>
      <c r="L22" s="462" t="s">
        <v>177</v>
      </c>
      <c r="M22" s="463" t="s">
        <v>209</v>
      </c>
      <c r="N22" s="463" t="s">
        <v>209</v>
      </c>
      <c r="O22" s="463" t="s">
        <v>209</v>
      </c>
      <c r="P22" s="463" t="s">
        <v>213</v>
      </c>
      <c r="Q22" s="463" t="s">
        <v>209</v>
      </c>
    </row>
    <row r="23" spans="2:17" ht="18.75" thickBot="1" x14ac:dyDescent="0.25">
      <c r="B23" s="317">
        <v>9</v>
      </c>
      <c r="C23" s="317">
        <v>10</v>
      </c>
      <c r="D23" s="318" t="s">
        <v>179</v>
      </c>
      <c r="E23" s="319" t="s">
        <v>8</v>
      </c>
      <c r="F23" s="320"/>
      <c r="G23" s="320">
        <v>100</v>
      </c>
      <c r="H23" s="231"/>
      <c r="I23" s="161"/>
      <c r="J23" s="322">
        <f t="shared" si="0"/>
        <v>1</v>
      </c>
      <c r="K23" s="461">
        <v>9</v>
      </c>
      <c r="L23" s="462" t="s">
        <v>178</v>
      </c>
      <c r="M23" s="463" t="s">
        <v>209</v>
      </c>
      <c r="N23" s="463" t="s">
        <v>209</v>
      </c>
      <c r="O23" s="463" t="s">
        <v>209</v>
      </c>
      <c r="P23" s="463" t="s">
        <v>213</v>
      </c>
      <c r="Q23" s="463" t="s">
        <v>209</v>
      </c>
    </row>
    <row r="24" spans="2:17" ht="18.75" thickBot="1" x14ac:dyDescent="0.25">
      <c r="B24" s="317">
        <v>10</v>
      </c>
      <c r="C24" s="317">
        <v>11</v>
      </c>
      <c r="D24" s="323" t="s">
        <v>180</v>
      </c>
      <c r="E24" s="319" t="s">
        <v>9</v>
      </c>
      <c r="F24" s="320"/>
      <c r="G24" s="320">
        <v>100</v>
      </c>
      <c r="H24" s="231"/>
      <c r="I24" s="161"/>
      <c r="J24" s="322">
        <f t="shared" si="0"/>
        <v>1</v>
      </c>
      <c r="K24" s="461">
        <v>10</v>
      </c>
      <c r="L24" s="462" t="s">
        <v>179</v>
      </c>
      <c r="M24" s="463" t="s">
        <v>209</v>
      </c>
      <c r="N24" s="463" t="s">
        <v>209</v>
      </c>
      <c r="O24" s="463" t="s">
        <v>211</v>
      </c>
      <c r="P24" s="465" t="s">
        <v>218</v>
      </c>
      <c r="Q24" s="465" t="s">
        <v>211</v>
      </c>
    </row>
    <row r="25" spans="2:17" ht="18.75" thickBot="1" x14ac:dyDescent="0.25">
      <c r="B25" s="317">
        <v>11</v>
      </c>
      <c r="C25" s="317">
        <v>13</v>
      </c>
      <c r="D25" s="318" t="s">
        <v>181</v>
      </c>
      <c r="E25" s="319" t="s">
        <v>13</v>
      </c>
      <c r="F25" s="320"/>
      <c r="G25" s="320">
        <v>100</v>
      </c>
      <c r="H25" s="231"/>
      <c r="I25" s="161"/>
      <c r="J25" s="322">
        <f t="shared" si="0"/>
        <v>1</v>
      </c>
      <c r="K25" s="461">
        <v>11</v>
      </c>
      <c r="L25" s="462" t="s">
        <v>180</v>
      </c>
      <c r="M25" s="463" t="s">
        <v>209</v>
      </c>
      <c r="N25" s="463" t="s">
        <v>209</v>
      </c>
      <c r="O25" s="463" t="s">
        <v>209</v>
      </c>
      <c r="P25" s="463" t="s">
        <v>213</v>
      </c>
      <c r="Q25" s="463" t="s">
        <v>209</v>
      </c>
    </row>
    <row r="26" spans="2:17" ht="18.75" thickBot="1" x14ac:dyDescent="0.25">
      <c r="B26" s="317">
        <v>12</v>
      </c>
      <c r="C26" s="317">
        <v>16</v>
      </c>
      <c r="D26" s="318" t="s">
        <v>182</v>
      </c>
      <c r="E26" s="319" t="s">
        <v>13</v>
      </c>
      <c r="F26" s="320"/>
      <c r="G26" s="320">
        <v>100</v>
      </c>
      <c r="H26" s="231"/>
      <c r="I26" s="161"/>
      <c r="J26" s="322">
        <f t="shared" si="0"/>
        <v>1</v>
      </c>
      <c r="K26" s="461">
        <v>13</v>
      </c>
      <c r="L26" s="462" t="s">
        <v>181</v>
      </c>
      <c r="M26" s="464" t="s">
        <v>210</v>
      </c>
      <c r="N26" s="464" t="s">
        <v>213</v>
      </c>
      <c r="O26" s="463" t="s">
        <v>209</v>
      </c>
      <c r="P26" s="463" t="s">
        <v>218</v>
      </c>
      <c r="Q26" s="464" t="s">
        <v>210</v>
      </c>
    </row>
    <row r="27" spans="2:17" ht="18.75" thickBot="1" x14ac:dyDescent="0.25">
      <c r="B27" s="317">
        <v>13</v>
      </c>
      <c r="C27" s="317">
        <v>17</v>
      </c>
      <c r="D27" s="323" t="s">
        <v>183</v>
      </c>
      <c r="E27" s="319" t="s">
        <v>9</v>
      </c>
      <c r="F27" s="320"/>
      <c r="G27" s="320">
        <v>100</v>
      </c>
      <c r="H27" s="231"/>
      <c r="I27" s="161"/>
      <c r="J27" s="322">
        <f t="shared" si="0"/>
        <v>1</v>
      </c>
      <c r="K27" s="461">
        <v>16</v>
      </c>
      <c r="L27" s="462" t="s">
        <v>182</v>
      </c>
      <c r="M27" s="464" t="s">
        <v>210</v>
      </c>
      <c r="N27" s="464" t="s">
        <v>213</v>
      </c>
      <c r="O27" s="463" t="s">
        <v>211</v>
      </c>
      <c r="P27" s="463" t="s">
        <v>218</v>
      </c>
      <c r="Q27" s="464" t="s">
        <v>210</v>
      </c>
    </row>
    <row r="28" spans="2:17" ht="18.75" thickBot="1" x14ac:dyDescent="0.25">
      <c r="B28" s="317">
        <v>14</v>
      </c>
      <c r="C28" s="317">
        <v>18</v>
      </c>
      <c r="D28" s="323" t="s">
        <v>184</v>
      </c>
      <c r="E28" s="319" t="s">
        <v>9</v>
      </c>
      <c r="F28" s="320"/>
      <c r="G28" s="320">
        <v>100</v>
      </c>
      <c r="H28" s="231"/>
      <c r="I28" s="161"/>
      <c r="J28" s="322">
        <f t="shared" si="0"/>
        <v>1</v>
      </c>
      <c r="K28" s="461">
        <v>17</v>
      </c>
      <c r="L28" s="462" t="s">
        <v>183</v>
      </c>
      <c r="M28" s="463" t="s">
        <v>209</v>
      </c>
      <c r="N28" s="463" t="s">
        <v>209</v>
      </c>
      <c r="O28" s="463" t="s">
        <v>209</v>
      </c>
      <c r="P28" s="463" t="s">
        <v>213</v>
      </c>
      <c r="Q28" s="463" t="s">
        <v>209</v>
      </c>
    </row>
    <row r="29" spans="2:17" ht="13.5" thickBot="1" x14ac:dyDescent="0.25">
      <c r="B29" s="317">
        <v>15</v>
      </c>
      <c r="C29" s="317">
        <v>22</v>
      </c>
      <c r="D29" s="318" t="s">
        <v>185</v>
      </c>
      <c r="E29" s="319" t="s">
        <v>13</v>
      </c>
      <c r="F29" s="320"/>
      <c r="G29" s="320">
        <v>100</v>
      </c>
      <c r="H29" s="231"/>
      <c r="I29" s="161"/>
      <c r="J29" s="322">
        <f t="shared" si="0"/>
        <v>1</v>
      </c>
      <c r="K29" s="461">
        <v>18</v>
      </c>
      <c r="L29" s="462" t="s">
        <v>184</v>
      </c>
      <c r="M29" s="464" t="s">
        <v>213</v>
      </c>
      <c r="N29" s="463" t="s">
        <v>209</v>
      </c>
      <c r="O29" s="463" t="s">
        <v>209</v>
      </c>
      <c r="P29" s="463" t="s">
        <v>213</v>
      </c>
      <c r="Q29" s="464" t="s">
        <v>213</v>
      </c>
    </row>
    <row r="30" spans="2:17" ht="15.75" customHeight="1" thickBot="1" x14ac:dyDescent="0.25">
      <c r="B30" s="317">
        <v>16</v>
      </c>
      <c r="C30" s="317">
        <v>23</v>
      </c>
      <c r="D30" s="323" t="s">
        <v>186</v>
      </c>
      <c r="E30" s="319" t="s">
        <v>9</v>
      </c>
      <c r="F30" s="320"/>
      <c r="G30" s="320">
        <v>100</v>
      </c>
      <c r="H30" s="231"/>
      <c r="I30" s="161"/>
      <c r="J30" s="322">
        <f t="shared" si="0"/>
        <v>1</v>
      </c>
      <c r="K30" s="461">
        <v>22</v>
      </c>
      <c r="L30" s="462" t="s">
        <v>185</v>
      </c>
      <c r="M30" s="464" t="s">
        <v>210</v>
      </c>
      <c r="N30" s="464" t="s">
        <v>210</v>
      </c>
      <c r="O30" s="463" t="s">
        <v>214</v>
      </c>
      <c r="P30" s="463" t="s">
        <v>218</v>
      </c>
      <c r="Q30" s="464" t="s">
        <v>210</v>
      </c>
    </row>
    <row r="31" spans="2:17" ht="13.5" thickBot="1" x14ac:dyDescent="0.25">
      <c r="B31" s="317">
        <v>17</v>
      </c>
      <c r="C31" s="317">
        <v>24</v>
      </c>
      <c r="D31" s="323" t="s">
        <v>187</v>
      </c>
      <c r="E31" s="319" t="s">
        <v>9</v>
      </c>
      <c r="F31" s="320"/>
      <c r="G31" s="320">
        <v>100</v>
      </c>
      <c r="H31" s="231"/>
      <c r="I31" s="161"/>
      <c r="J31" s="322">
        <f t="shared" si="0"/>
        <v>1</v>
      </c>
      <c r="K31" s="461">
        <v>23</v>
      </c>
      <c r="L31" s="462" t="s">
        <v>186</v>
      </c>
      <c r="M31" s="463" t="s">
        <v>209</v>
      </c>
      <c r="N31" s="463" t="s">
        <v>209</v>
      </c>
      <c r="O31" s="463" t="s">
        <v>209</v>
      </c>
      <c r="P31" s="463" t="s">
        <v>213</v>
      </c>
      <c r="Q31" s="463" t="s">
        <v>209</v>
      </c>
    </row>
    <row r="32" spans="2:17" ht="18" customHeight="1" thickBot="1" x14ac:dyDescent="0.25">
      <c r="B32" s="317">
        <v>18</v>
      </c>
      <c r="C32" s="317">
        <v>25</v>
      </c>
      <c r="D32" s="323" t="s">
        <v>188</v>
      </c>
      <c r="E32" s="319" t="s">
        <v>9</v>
      </c>
      <c r="F32" s="320"/>
      <c r="G32" s="320">
        <v>100</v>
      </c>
      <c r="H32" s="231"/>
      <c r="I32" s="161"/>
      <c r="J32" s="322">
        <f t="shared" si="0"/>
        <v>1</v>
      </c>
      <c r="K32" s="461">
        <v>24</v>
      </c>
      <c r="L32" s="462" t="s">
        <v>187</v>
      </c>
      <c r="M32" s="463" t="s">
        <v>209</v>
      </c>
      <c r="N32" s="463" t="s">
        <v>209</v>
      </c>
      <c r="O32" s="463" t="s">
        <v>209</v>
      </c>
      <c r="P32" s="463" t="s">
        <v>213</v>
      </c>
      <c r="Q32" s="463" t="s">
        <v>209</v>
      </c>
    </row>
    <row r="33" spans="2:17" ht="18.75" customHeight="1" thickBot="1" x14ac:dyDescent="0.25">
      <c r="B33" s="317">
        <v>19</v>
      </c>
      <c r="C33" s="317">
        <v>26</v>
      </c>
      <c r="D33" s="318" t="s">
        <v>189</v>
      </c>
      <c r="E33" s="319" t="s">
        <v>13</v>
      </c>
      <c r="F33" s="320"/>
      <c r="G33" s="320">
        <v>100</v>
      </c>
      <c r="H33" s="231"/>
      <c r="I33" s="161"/>
      <c r="J33" s="322">
        <f t="shared" si="0"/>
        <v>1</v>
      </c>
      <c r="K33" s="461">
        <v>25</v>
      </c>
      <c r="L33" s="462" t="s">
        <v>188</v>
      </c>
      <c r="M33" s="463" t="s">
        <v>209</v>
      </c>
      <c r="N33" s="463" t="s">
        <v>209</v>
      </c>
      <c r="O33" s="463" t="s">
        <v>209</v>
      </c>
      <c r="P33" s="463" t="s">
        <v>213</v>
      </c>
      <c r="Q33" s="463" t="s">
        <v>209</v>
      </c>
    </row>
    <row r="34" spans="2:17" ht="24" customHeight="1" thickBot="1" x14ac:dyDescent="0.25">
      <c r="B34" s="317">
        <v>20</v>
      </c>
      <c r="C34" s="317">
        <v>27</v>
      </c>
      <c r="D34" s="323" t="s">
        <v>190</v>
      </c>
      <c r="E34" s="319" t="s">
        <v>9</v>
      </c>
      <c r="F34" s="320"/>
      <c r="G34" s="320">
        <v>100</v>
      </c>
      <c r="H34" s="231"/>
      <c r="I34" s="161"/>
      <c r="J34" s="322">
        <f t="shared" si="0"/>
        <v>1</v>
      </c>
      <c r="K34" s="461">
        <v>26</v>
      </c>
      <c r="L34" s="462" t="s">
        <v>189</v>
      </c>
      <c r="M34" s="464" t="s">
        <v>210</v>
      </c>
      <c r="N34" s="464" t="s">
        <v>210</v>
      </c>
      <c r="O34" s="463" t="s">
        <v>214</v>
      </c>
      <c r="P34" s="463" t="s">
        <v>218</v>
      </c>
      <c r="Q34" s="464" t="s">
        <v>210</v>
      </c>
    </row>
    <row r="35" spans="2:17" ht="19.5" customHeight="1" thickBot="1" x14ac:dyDescent="0.25">
      <c r="B35" s="317">
        <v>21</v>
      </c>
      <c r="C35" s="317">
        <v>28</v>
      </c>
      <c r="D35" s="323" t="s">
        <v>191</v>
      </c>
      <c r="E35" s="319" t="s">
        <v>9</v>
      </c>
      <c r="F35" s="320"/>
      <c r="G35" s="320">
        <v>100</v>
      </c>
      <c r="H35" s="231"/>
      <c r="I35" s="161"/>
      <c r="J35" s="322">
        <f t="shared" si="0"/>
        <v>1</v>
      </c>
      <c r="K35" s="461">
        <v>27</v>
      </c>
      <c r="L35" s="462" t="s">
        <v>190</v>
      </c>
      <c r="M35" s="463" t="s">
        <v>209</v>
      </c>
      <c r="N35" s="463" t="s">
        <v>209</v>
      </c>
      <c r="O35" s="463" t="s">
        <v>209</v>
      </c>
      <c r="P35" s="463" t="s">
        <v>213</v>
      </c>
      <c r="Q35" s="463" t="s">
        <v>209</v>
      </c>
    </row>
    <row r="36" spans="2:17" ht="22.5" customHeight="1" thickBot="1" x14ac:dyDescent="0.25">
      <c r="B36" s="337"/>
      <c r="C36" s="338"/>
      <c r="D36" s="338"/>
      <c r="E36" s="338"/>
      <c r="F36" s="57"/>
      <c r="G36" s="57"/>
      <c r="H36" s="245"/>
      <c r="I36" s="57"/>
      <c r="K36" s="461">
        <v>28</v>
      </c>
      <c r="L36" s="462" t="s">
        <v>191</v>
      </c>
      <c r="M36" s="466" t="s">
        <v>215</v>
      </c>
      <c r="N36" s="465" t="s">
        <v>209</v>
      </c>
      <c r="O36" s="465" t="s">
        <v>209</v>
      </c>
      <c r="P36" s="465" t="s">
        <v>213</v>
      </c>
      <c r="Q36" s="465" t="s">
        <v>215</v>
      </c>
    </row>
    <row r="37" spans="2:17" ht="15" thickTop="1" x14ac:dyDescent="0.2">
      <c r="B37" s="331" t="s">
        <v>19</v>
      </c>
      <c r="C37" s="332"/>
      <c r="D37" s="162" t="s">
        <v>9</v>
      </c>
      <c r="E37" s="53">
        <f>COUNTIF($E$15:$E$35,D37)</f>
        <v>14</v>
      </c>
      <c r="F37" s="71"/>
      <c r="G37" s="232"/>
      <c r="H37" s="72"/>
      <c r="I37" s="232"/>
      <c r="K37" s="451"/>
      <c r="L37"/>
      <c r="M37"/>
      <c r="N37"/>
      <c r="O37"/>
      <c r="P37"/>
      <c r="Q37"/>
    </row>
    <row r="38" spans="2:17" x14ac:dyDescent="0.2">
      <c r="B38" s="333"/>
      <c r="C38" s="334"/>
      <c r="D38" s="163" t="s">
        <v>8</v>
      </c>
      <c r="E38" s="54">
        <f>COUNTIF($E$15:$E$35,D38)</f>
        <v>1</v>
      </c>
      <c r="F38" s="56"/>
      <c r="G38" s="61"/>
      <c r="H38" s="57"/>
      <c r="I38" s="61"/>
    </row>
    <row r="39" spans="2:17" x14ac:dyDescent="0.2">
      <c r="B39" s="333"/>
      <c r="C39" s="334"/>
      <c r="D39" s="164" t="s">
        <v>13</v>
      </c>
      <c r="E39" s="78">
        <f>COUNTIF($E$15:$E$35,D39)</f>
        <v>6</v>
      </c>
      <c r="F39" s="56"/>
      <c r="G39" s="61"/>
      <c r="H39" s="57"/>
      <c r="I39" s="61"/>
    </row>
    <row r="40" spans="2:17" ht="13.5" thickBot="1" x14ac:dyDescent="0.25">
      <c r="B40" s="335"/>
      <c r="C40" s="336"/>
      <c r="D40" s="294" t="s">
        <v>39</v>
      </c>
      <c r="E40" s="55">
        <f>SUM(E37:E39)</f>
        <v>21</v>
      </c>
      <c r="F40" s="58"/>
      <c r="G40" s="233"/>
      <c r="H40" s="59"/>
      <c r="I40" s="233"/>
    </row>
    <row r="41" spans="2:17" ht="13.5" thickTop="1" x14ac:dyDescent="0.2"/>
  </sheetData>
  <sheetProtection selectLockedCells="1"/>
  <mergeCells count="20">
    <mergeCell ref="K13:Q13"/>
    <mergeCell ref="K14:K15"/>
    <mergeCell ref="L14:L15"/>
    <mergeCell ref="M14:Q14"/>
    <mergeCell ref="B37:C40"/>
    <mergeCell ref="B4:I4"/>
    <mergeCell ref="B36:E36"/>
    <mergeCell ref="D12:D13"/>
    <mergeCell ref="B12:B13"/>
    <mergeCell ref="E12:E13"/>
    <mergeCell ref="C12:C13"/>
    <mergeCell ref="I12:I13"/>
    <mergeCell ref="B10:I10"/>
    <mergeCell ref="B11:I11"/>
    <mergeCell ref="F12:G12"/>
    <mergeCell ref="B1:I1"/>
    <mergeCell ref="B2:I2"/>
    <mergeCell ref="B3:I3"/>
    <mergeCell ref="B5:I5"/>
    <mergeCell ref="B7:I7"/>
  </mergeCells>
  <phoneticPr fontId="0" type="noConversion"/>
  <conditionalFormatting sqref="B15:B35 E15:I35 C15">
    <cfRule type="expression" dxfId="174" priority="32">
      <formula>MOD(ROW(),2)</formula>
    </cfRule>
  </conditionalFormatting>
  <conditionalFormatting sqref="E38">
    <cfRule type="cellIs" dxfId="173" priority="15" operator="greaterThan">
      <formula>0</formula>
    </cfRule>
  </conditionalFormatting>
  <conditionalFormatting sqref="E15:E35">
    <cfRule type="cellIs" dxfId="172" priority="12" operator="equal">
      <formula>"RECHAZO"</formula>
    </cfRule>
    <cfRule type="cellIs" dxfId="171" priority="13" operator="equal">
      <formula>"NO ADMISIBLE"</formula>
    </cfRule>
    <cfRule type="cellIs" dxfId="170" priority="14" operator="equal">
      <formula>"ADMISIBLE"</formula>
    </cfRule>
  </conditionalFormatting>
  <conditionalFormatting sqref="F15:H35">
    <cfRule type="cellIs" dxfId="169" priority="6" operator="equal">
      <formula>0</formula>
    </cfRule>
  </conditionalFormatting>
  <conditionalFormatting sqref="I15:I35">
    <cfRule type="cellIs" dxfId="168" priority="5" operator="equal">
      <formula>"NO"</formula>
    </cfRule>
  </conditionalFormatting>
  <conditionalFormatting sqref="C16:C35">
    <cfRule type="expression" dxfId="167" priority="1">
      <formula>MOD(ROW(),2)</formula>
    </cfRule>
  </conditionalFormatting>
  <dataValidations count="1">
    <dataValidation type="list" allowBlank="1" showInputMessage="1" showErrorMessage="1" sqref="E15:E35">
      <formula1>RESULTADO</formula1>
    </dataValidation>
  </dataValidations>
  <printOptions horizontalCentered="1"/>
  <pageMargins left="0.23622047244094491" right="0.23622047244094491" top="0.74803149606299213" bottom="0.74803149606299213" header="0.31496062992125984" footer="0.31496062992125984"/>
  <pageSetup scale="53" orientation="portrait" horizontalDpi="1200" verticalDpi="1200" r:id="rId1"/>
  <headerFooter alignWithMargins="0">
    <oddFooter>&amp;L&amp;9&amp;F&amp;A&amp;C&amp;P de &amp;N&amp;R&amp;9INSTITUTO NACIONAL DE VIAS&amp;D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9" tint="-0.249977111117893"/>
  </sheetPr>
  <dimension ref="A1:YT146"/>
  <sheetViews>
    <sheetView showGridLines="0" topLeftCell="A10" zoomScale="80" zoomScaleNormal="80" zoomScaleSheetLayoutView="55" workbookViewId="0">
      <pane xSplit="8" ySplit="3" topLeftCell="I37" activePane="bottomRight" state="frozen"/>
      <selection activeCell="A10" sqref="A10"/>
      <selection pane="topRight" activeCell="I10" sqref="I10"/>
      <selection pane="bottomLeft" activeCell="A13" sqref="A13"/>
      <selection pane="bottomRight" activeCell="I54" sqref="I54:K57"/>
    </sheetView>
  </sheetViews>
  <sheetFormatPr baseColWidth="10" defaultColWidth="0" defaultRowHeight="12.75" x14ac:dyDescent="0.2"/>
  <cols>
    <col min="1" max="1" width="2.7109375" style="2" customWidth="1"/>
    <col min="2" max="2" width="5.140625" style="15" customWidth="1"/>
    <col min="3" max="3" width="9.5703125" style="15" customWidth="1"/>
    <col min="4" max="4" width="45.7109375" style="2" customWidth="1"/>
    <col min="5" max="5" width="10.140625" style="2" customWidth="1"/>
    <col min="6" max="6" width="13.5703125" style="2" customWidth="1"/>
    <col min="7" max="7" width="18" style="12" customWidth="1"/>
    <col min="8" max="8" width="22.140625" style="2" customWidth="1"/>
    <col min="9" max="10" width="21.140625" style="12" customWidth="1"/>
    <col min="11" max="11" width="21.140625" style="16" customWidth="1"/>
    <col min="12" max="71" width="21.140625" customWidth="1"/>
    <col min="72" max="72" width="16.5703125" customWidth="1"/>
    <col min="73" max="73" width="11.42578125" style="2" hidden="1" customWidth="1"/>
    <col min="74" max="669" width="0" style="2" hidden="1" customWidth="1"/>
    <col min="670" max="670" width="11.42578125" style="2" hidden="1" customWidth="1"/>
    <col min="671" max="16384" width="0" style="2" hidden="1"/>
  </cols>
  <sheetData>
    <row r="1" spans="1:72" s="34" customFormat="1" ht="20.100000000000001" customHeight="1" x14ac:dyDescent="0.25">
      <c r="A1" s="35"/>
      <c r="B1" s="329" t="str">
        <f>RESUMEN!B1</f>
        <v>FIDUPREVISORA</v>
      </c>
      <c r="C1" s="329"/>
      <c r="D1" s="329"/>
      <c r="E1" s="329"/>
      <c r="F1" s="329"/>
      <c r="G1" s="329"/>
      <c r="H1" s="329"/>
      <c r="I1" s="36"/>
      <c r="J1" s="35"/>
      <c r="K1" s="37"/>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1:72" s="34" customFormat="1" ht="20.100000000000001" customHeight="1" x14ac:dyDescent="0.25">
      <c r="A2" s="35"/>
      <c r="B2" s="330"/>
      <c r="C2" s="330"/>
      <c r="D2" s="330"/>
      <c r="E2" s="330"/>
      <c r="F2" s="330"/>
      <c r="G2" s="330"/>
      <c r="H2" s="330"/>
      <c r="I2" s="36"/>
      <c r="J2" s="35"/>
      <c r="K2" s="3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row>
    <row r="3" spans="1:72" s="34" customFormat="1" ht="40.5" customHeight="1" x14ac:dyDescent="0.25">
      <c r="A3" s="35"/>
      <c r="B3" s="330" t="str">
        <f>RESUMEN!B3</f>
        <v>PATRIMONIO AUTÓNOMO FIDEICOMISO ECOPETROL ZOMAC (en adelante PATRIMONIO AUTÓNOMO) FIDUCIARIA LA PREVISORA S.A.</v>
      </c>
      <c r="C3" s="330"/>
      <c r="D3" s="330"/>
      <c r="E3" s="330"/>
      <c r="F3" s="330"/>
      <c r="G3" s="330"/>
      <c r="H3" s="330"/>
      <c r="I3" s="36"/>
      <c r="J3" s="209"/>
      <c r="K3" s="37"/>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row>
    <row r="4" spans="1:72" s="34" customFormat="1" ht="20.100000000000001" customHeight="1" x14ac:dyDescent="0.25">
      <c r="A4" s="35"/>
      <c r="B4" s="330"/>
      <c r="C4" s="330"/>
      <c r="D4" s="330"/>
      <c r="E4" s="330"/>
      <c r="F4" s="330"/>
      <c r="G4" s="330"/>
      <c r="H4" s="330"/>
      <c r="I4" s="36"/>
      <c r="J4" s="210"/>
      <c r="K4" s="37"/>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row>
    <row r="5" spans="1:72" s="34" customFormat="1" ht="20.100000000000001" customHeight="1" x14ac:dyDescent="0.25">
      <c r="A5" s="35"/>
      <c r="B5" s="330" t="str">
        <f>RESUMEN!B5</f>
        <v>LICITACIÓN PRIVADA ABIERTA N° 007 DE 2018</v>
      </c>
      <c r="C5" s="330"/>
      <c r="D5" s="330"/>
      <c r="E5" s="330"/>
      <c r="F5" s="330"/>
      <c r="G5" s="330"/>
      <c r="H5" s="330"/>
      <c r="I5" s="36"/>
      <c r="J5" s="35"/>
      <c r="K5" s="37"/>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row>
    <row r="6" spans="1:72" s="34" customFormat="1" ht="18.75" x14ac:dyDescent="0.25">
      <c r="A6" s="35"/>
      <c r="B6" s="49"/>
      <c r="C6" s="31"/>
      <c r="D6" s="32"/>
      <c r="E6" s="32"/>
      <c r="F6" s="32"/>
      <c r="G6" s="32"/>
      <c r="H6" s="32"/>
      <c r="I6" s="36"/>
      <c r="J6" s="35"/>
      <c r="K6" s="37"/>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row>
    <row r="7" spans="1:72" s="34" customFormat="1" ht="36.75" customHeight="1" x14ac:dyDescent="0.25">
      <c r="A7" s="35"/>
      <c r="B7" s="330" t="str">
        <f>RESUMEN!B7</f>
        <v>PROYECTO No. 2: MEJORAMIENTO MEDIANTE CONSTRUCCIÓN DE PLACA HUELLA DE VÍAS TERCIARIAS DEL MUNICIPIO DE LA GLORIA, DEPARTAMENTO DEL CESAR VINCULADOS AL CONTRIBUYENTE ECOPETROL S.A. DENTRO DEL MARCO DEL MECANISMO DE OBRAS POR IMPUESTOS</v>
      </c>
      <c r="C7" s="330"/>
      <c r="D7" s="330"/>
      <c r="E7" s="330"/>
      <c r="F7" s="330"/>
      <c r="G7" s="330"/>
      <c r="H7" s="330"/>
      <c r="I7" s="36"/>
      <c r="J7" s="35"/>
      <c r="K7" s="3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row>
    <row r="8" spans="1:72" s="34" customFormat="1" ht="18.75" x14ac:dyDescent="0.25">
      <c r="A8" s="35"/>
      <c r="B8" s="49"/>
      <c r="C8" s="31"/>
      <c r="D8" s="32"/>
      <c r="E8" s="32"/>
      <c r="F8" s="32"/>
      <c r="G8" s="32"/>
      <c r="H8" s="32"/>
      <c r="I8" s="36"/>
      <c r="J8" s="35"/>
      <c r="K8" s="37"/>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row>
    <row r="9" spans="1:72" s="17" customFormat="1" ht="13.5" thickBot="1" x14ac:dyDescent="0.25">
      <c r="A9" s="21"/>
      <c r="B9" s="347" t="s">
        <v>85</v>
      </c>
      <c r="C9" s="347"/>
      <c r="D9" s="347"/>
      <c r="E9" s="347"/>
      <c r="F9" s="347"/>
      <c r="G9" s="347"/>
      <c r="H9" s="347"/>
      <c r="I9" s="26"/>
      <c r="J9" s="25"/>
      <c r="K9" s="25"/>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row>
    <row r="10" spans="1:72" s="8" customFormat="1" ht="20.100000000000001" customHeight="1" thickTop="1" thickBot="1" x14ac:dyDescent="0.25">
      <c r="A10" s="18"/>
      <c r="B10" s="50"/>
      <c r="C10" s="13"/>
      <c r="D10" s="19"/>
      <c r="E10" s="20"/>
      <c r="F10" s="20"/>
      <c r="G10" s="24"/>
      <c r="H10" s="27"/>
      <c r="I10" s="351" t="str">
        <f>RESUMEN!$E$15</f>
        <v>ADMISIBLE</v>
      </c>
      <c r="J10" s="351"/>
      <c r="K10" s="351"/>
      <c r="L10" s="351" t="str">
        <f>RESUMEN!$E$16</f>
        <v>ADMISIBLE</v>
      </c>
      <c r="M10" s="351"/>
      <c r="N10" s="351"/>
      <c r="O10" s="351" t="str">
        <f>RESUMEN!$E$17</f>
        <v>RECHAZO</v>
      </c>
      <c r="P10" s="351"/>
      <c r="Q10" s="351"/>
      <c r="R10" s="351" t="str">
        <f>RESUMEN!$E$18</f>
        <v>ADMISIBLE</v>
      </c>
      <c r="S10" s="351"/>
      <c r="T10" s="351"/>
      <c r="U10" s="351" t="str">
        <f>RESUMEN!$E$19</f>
        <v>ADMISIBLE</v>
      </c>
      <c r="V10" s="351"/>
      <c r="W10" s="351"/>
      <c r="X10" s="351" t="str">
        <f>RESUMEN!$E$20</f>
        <v>RECHAZO</v>
      </c>
      <c r="Y10" s="351"/>
      <c r="Z10" s="351"/>
      <c r="AA10" s="351" t="str">
        <f>RESUMEN!$E$21</f>
        <v>ADMISIBLE</v>
      </c>
      <c r="AB10" s="351"/>
      <c r="AC10" s="351"/>
      <c r="AD10" s="351" t="str">
        <f>RESUMEN!$E$22</f>
        <v>ADMISIBLE</v>
      </c>
      <c r="AE10" s="351"/>
      <c r="AF10" s="351"/>
      <c r="AG10" s="351" t="str">
        <f>RESUMEN!$E$23</f>
        <v>NO ADMISIBLE</v>
      </c>
      <c r="AH10" s="351"/>
      <c r="AI10" s="351"/>
      <c r="AJ10" s="351" t="str">
        <f>RESUMEN!$E$24</f>
        <v>ADMISIBLE</v>
      </c>
      <c r="AK10" s="351"/>
      <c r="AL10" s="351"/>
      <c r="AM10" s="351" t="str">
        <f>RESUMEN!$E$25</f>
        <v>RECHAZO</v>
      </c>
      <c r="AN10" s="351"/>
      <c r="AO10" s="351"/>
      <c r="AP10" s="351" t="str">
        <f>RESUMEN!$E$26</f>
        <v>RECHAZO</v>
      </c>
      <c r="AQ10" s="351"/>
      <c r="AR10" s="351"/>
      <c r="AS10" s="351" t="str">
        <f>RESUMEN!$E$27</f>
        <v>ADMISIBLE</v>
      </c>
      <c r="AT10" s="351"/>
      <c r="AU10" s="351"/>
      <c r="AV10" s="351" t="str">
        <f>RESUMEN!$E$28</f>
        <v>ADMISIBLE</v>
      </c>
      <c r="AW10" s="351"/>
      <c r="AX10" s="351"/>
      <c r="AY10" s="351" t="str">
        <f>RESUMEN!$E$29</f>
        <v>RECHAZO</v>
      </c>
      <c r="AZ10" s="351"/>
      <c r="BA10" s="351"/>
      <c r="BB10" s="351" t="str">
        <f>RESUMEN!$E$30</f>
        <v>ADMISIBLE</v>
      </c>
      <c r="BC10" s="351"/>
      <c r="BD10" s="351"/>
      <c r="BE10" s="351" t="str">
        <f>RESUMEN!$E$31</f>
        <v>ADMISIBLE</v>
      </c>
      <c r="BF10" s="351"/>
      <c r="BG10" s="351"/>
      <c r="BH10" s="351" t="str">
        <f>RESUMEN!$E$32</f>
        <v>ADMISIBLE</v>
      </c>
      <c r="BI10" s="351"/>
      <c r="BJ10" s="351"/>
      <c r="BK10" s="351" t="str">
        <f>RESUMEN!$E$33</f>
        <v>RECHAZO</v>
      </c>
      <c r="BL10" s="351"/>
      <c r="BM10" s="351"/>
      <c r="BN10" s="351" t="str">
        <f>RESUMEN!$E$34</f>
        <v>ADMISIBLE</v>
      </c>
      <c r="BO10" s="351"/>
      <c r="BP10" s="351"/>
      <c r="BQ10" s="351" t="str">
        <f>RESUMEN!$E$35</f>
        <v>ADMISIBLE</v>
      </c>
      <c r="BR10" s="351"/>
      <c r="BS10" s="351"/>
      <c r="BT10"/>
    </row>
    <row r="11" spans="1:72" s="9" customFormat="1" ht="20.25" customHeight="1" thickTop="1" x14ac:dyDescent="0.25">
      <c r="A11" s="22"/>
      <c r="B11" s="384"/>
      <c r="C11" s="384"/>
      <c r="D11" s="384"/>
      <c r="E11" s="384"/>
      <c r="F11" s="384"/>
      <c r="G11" s="384"/>
      <c r="H11" s="384"/>
      <c r="I11" s="352">
        <f>RESUMEN!$C$15</f>
        <v>1</v>
      </c>
      <c r="J11" s="352"/>
      <c r="K11" s="352"/>
      <c r="L11" s="352">
        <f>RESUMEN!$C$16</f>
        <v>2</v>
      </c>
      <c r="M11" s="352"/>
      <c r="N11" s="352"/>
      <c r="O11" s="352">
        <f>RESUMEN!$C$17</f>
        <v>3</v>
      </c>
      <c r="P11" s="352"/>
      <c r="Q11" s="352"/>
      <c r="R11" s="352">
        <f>RESUMEN!$C$18</f>
        <v>5</v>
      </c>
      <c r="S11" s="352"/>
      <c r="T11" s="352"/>
      <c r="U11" s="352">
        <f>RESUMEN!$C$19</f>
        <v>6</v>
      </c>
      <c r="V11" s="352"/>
      <c r="W11" s="352"/>
      <c r="X11" s="352">
        <f>RESUMEN!$C$20</f>
        <v>7</v>
      </c>
      <c r="Y11" s="352"/>
      <c r="Z11" s="352"/>
      <c r="AA11" s="352">
        <f>RESUMEN!$C$21</f>
        <v>8</v>
      </c>
      <c r="AB11" s="352"/>
      <c r="AC11" s="352"/>
      <c r="AD11" s="352">
        <f>RESUMEN!$C$22</f>
        <v>9</v>
      </c>
      <c r="AE11" s="352"/>
      <c r="AF11" s="352"/>
      <c r="AG11" s="352">
        <f>RESUMEN!$C$23</f>
        <v>10</v>
      </c>
      <c r="AH11" s="352"/>
      <c r="AI11" s="352"/>
      <c r="AJ11" s="352">
        <f>RESUMEN!$C$24</f>
        <v>11</v>
      </c>
      <c r="AK11" s="352"/>
      <c r="AL11" s="352"/>
      <c r="AM11" s="352">
        <f>RESUMEN!$C$25</f>
        <v>13</v>
      </c>
      <c r="AN11" s="352"/>
      <c r="AO11" s="352"/>
      <c r="AP11" s="352">
        <f>RESUMEN!$C$26</f>
        <v>16</v>
      </c>
      <c r="AQ11" s="352"/>
      <c r="AR11" s="352"/>
      <c r="AS11" s="352">
        <f>RESUMEN!$C$27</f>
        <v>17</v>
      </c>
      <c r="AT11" s="352"/>
      <c r="AU11" s="352"/>
      <c r="AV11" s="352">
        <f>RESUMEN!$C$28</f>
        <v>18</v>
      </c>
      <c r="AW11" s="352"/>
      <c r="AX11" s="352"/>
      <c r="AY11" s="352">
        <f>RESUMEN!$C$29</f>
        <v>22</v>
      </c>
      <c r="AZ11" s="352"/>
      <c r="BA11" s="352"/>
      <c r="BB11" s="352">
        <f>RESUMEN!$C$30</f>
        <v>23</v>
      </c>
      <c r="BC11" s="352"/>
      <c r="BD11" s="352"/>
      <c r="BE11" s="352">
        <f>RESUMEN!$C$31</f>
        <v>24</v>
      </c>
      <c r="BF11" s="352"/>
      <c r="BG11" s="352"/>
      <c r="BH11" s="352">
        <f>RESUMEN!$C$32</f>
        <v>25</v>
      </c>
      <c r="BI11" s="352"/>
      <c r="BJ11" s="352"/>
      <c r="BK11" s="352">
        <f>RESUMEN!$C$33</f>
        <v>26</v>
      </c>
      <c r="BL11" s="352"/>
      <c r="BM11" s="352"/>
      <c r="BN11" s="352">
        <f>RESUMEN!$C$34</f>
        <v>27</v>
      </c>
      <c r="BO11" s="352"/>
      <c r="BP11" s="352"/>
      <c r="BQ11" s="352">
        <f>RESUMEN!$C$35</f>
        <v>28</v>
      </c>
      <c r="BR11" s="352"/>
      <c r="BS11" s="352"/>
      <c r="BT11"/>
    </row>
    <row r="12" spans="1:72" s="10" customFormat="1" ht="17.25" customHeight="1" thickBot="1" x14ac:dyDescent="0.25">
      <c r="A12" s="30"/>
      <c r="B12" s="385" t="s">
        <v>0</v>
      </c>
      <c r="C12" s="385"/>
      <c r="D12" s="385"/>
      <c r="E12" s="385"/>
      <c r="F12" s="385"/>
      <c r="G12" s="385"/>
      <c r="H12" s="385"/>
      <c r="I12" s="353" t="str">
        <f>RESUMEN!$D$15</f>
        <v>CONSORCIO VIAL LA GLORIA</v>
      </c>
      <c r="J12" s="353"/>
      <c r="K12" s="353"/>
      <c r="L12" s="353" t="str">
        <f>RESUMEN!$D$16</f>
        <v>CONSORCIO NUEVAS VIAS 2018</v>
      </c>
      <c r="M12" s="353"/>
      <c r="N12" s="353"/>
      <c r="O12" s="353" t="str">
        <f>RESUMEN!$D$17</f>
        <v>UNION TEMPORAL VIAS 2018</v>
      </c>
      <c r="P12" s="353"/>
      <c r="Q12" s="353"/>
      <c r="R12" s="353" t="str">
        <f>RESUMEN!$D$18</f>
        <v>R3 CONSTRUCTORES &amp; CONSULTORES SAS</v>
      </c>
      <c r="S12" s="353"/>
      <c r="T12" s="353"/>
      <c r="U12" s="353" t="str">
        <f>RESUMEN!$D$19</f>
        <v>UNION TEMPORAL ZOMAC-LA GLORIA</v>
      </c>
      <c r="V12" s="353"/>
      <c r="W12" s="353"/>
      <c r="X12" s="353" t="str">
        <f>RESUMEN!$D$20</f>
        <v>CONSTRUAMBIENTES SAS</v>
      </c>
      <c r="Y12" s="353"/>
      <c r="Z12" s="353"/>
      <c r="AA12" s="353" t="str">
        <f>RESUMEN!$D$21</f>
        <v>CONSORCIO VIAL</v>
      </c>
      <c r="AB12" s="353"/>
      <c r="AC12" s="353"/>
      <c r="AD12" s="353" t="str">
        <f>RESUMEN!$D$22</f>
        <v>CONSORCIO VIAS TERCIARIAS</v>
      </c>
      <c r="AE12" s="353"/>
      <c r="AF12" s="353"/>
      <c r="AG12" s="353" t="str">
        <f>RESUMEN!$D$23</f>
        <v>CONSORCIO LA GLORIA</v>
      </c>
      <c r="AH12" s="353"/>
      <c r="AI12" s="353"/>
      <c r="AJ12" s="353" t="str">
        <f>RESUMEN!$D$24</f>
        <v>CONSORCIO HUILA 2018</v>
      </c>
      <c r="AK12" s="353"/>
      <c r="AL12" s="353"/>
      <c r="AM12" s="353" t="str">
        <f>RESUMEN!$D$25</f>
        <v>CONSORCIO B&amp;B LA GLORIA</v>
      </c>
      <c r="AN12" s="353"/>
      <c r="AO12" s="353"/>
      <c r="AP12" s="353" t="str">
        <f>RESUMEN!$D$26</f>
        <v>CONSORCIO PROYECTO 1</v>
      </c>
      <c r="AQ12" s="353"/>
      <c r="AR12" s="353"/>
      <c r="AS12" s="353" t="str">
        <f>RESUMEN!$D$27</f>
        <v>CONSORCIO VIAS NACIONALES 007</v>
      </c>
      <c r="AT12" s="353"/>
      <c r="AU12" s="353"/>
      <c r="AV12" s="353" t="str">
        <f>RESUMEN!$D$28</f>
        <v>KMC SAS</v>
      </c>
      <c r="AW12" s="353"/>
      <c r="AX12" s="353"/>
      <c r="AY12" s="353" t="str">
        <f>RESUMEN!$D$29</f>
        <v>CONSORCIO MANZANARES</v>
      </c>
      <c r="AZ12" s="353"/>
      <c r="BA12" s="353"/>
      <c r="BB12" s="353" t="str">
        <f>RESUMEN!$D$30</f>
        <v>DISCEP SAS</v>
      </c>
      <c r="BC12" s="353"/>
      <c r="BD12" s="353"/>
      <c r="BE12" s="353" t="str">
        <f>RESUMEN!$D$31</f>
        <v>CONSORCIO OBRAS MI</v>
      </c>
      <c r="BF12" s="353"/>
      <c r="BG12" s="353"/>
      <c r="BH12" s="353" t="str">
        <f>RESUMEN!$D$32</f>
        <v>INGENIERIA DE PROYECTOS AML SAS</v>
      </c>
      <c r="BI12" s="353"/>
      <c r="BJ12" s="353"/>
      <c r="BK12" s="353" t="str">
        <f>RESUMEN!$D$33</f>
        <v>CONSORCIO VIAL PUTUMAYO</v>
      </c>
      <c r="BL12" s="353"/>
      <c r="BM12" s="353"/>
      <c r="BN12" s="353" t="str">
        <f>RESUMEN!$D$34</f>
        <v>UNION TEMPORAL PAVIMENTOS ARIZONA</v>
      </c>
      <c r="BO12" s="353"/>
      <c r="BP12" s="353"/>
      <c r="BQ12" s="353" t="str">
        <f>RESUMEN!$D$35</f>
        <v>OBRAS CIVILES Y EQUIPOS SAS – OCIEQUIPOS SAS</v>
      </c>
      <c r="BR12" s="353"/>
      <c r="BS12" s="353"/>
      <c r="BT12"/>
    </row>
    <row r="13" spans="1:72" ht="36" customHeight="1" thickBot="1" x14ac:dyDescent="0.25">
      <c r="A13" s="11"/>
      <c r="B13" s="212" t="s">
        <v>11</v>
      </c>
      <c r="C13" s="213" t="s">
        <v>103</v>
      </c>
      <c r="D13" s="214" t="s">
        <v>96</v>
      </c>
      <c r="E13" s="214" t="s">
        <v>1</v>
      </c>
      <c r="F13" s="215" t="s">
        <v>7</v>
      </c>
      <c r="G13" s="214" t="s">
        <v>104</v>
      </c>
      <c r="H13" s="217" t="s">
        <v>40</v>
      </c>
      <c r="I13" s="218" t="s">
        <v>104</v>
      </c>
      <c r="J13" s="214" t="s">
        <v>2</v>
      </c>
      <c r="K13" s="216" t="s">
        <v>3</v>
      </c>
      <c r="L13" s="218" t="s">
        <v>104</v>
      </c>
      <c r="M13" s="214" t="s">
        <v>2</v>
      </c>
      <c r="N13" s="216" t="s">
        <v>3</v>
      </c>
      <c r="O13" s="218" t="s">
        <v>104</v>
      </c>
      <c r="P13" s="214" t="s">
        <v>2</v>
      </c>
      <c r="Q13" s="216" t="s">
        <v>3</v>
      </c>
      <c r="R13" s="218" t="s">
        <v>104</v>
      </c>
      <c r="S13" s="214" t="s">
        <v>2</v>
      </c>
      <c r="T13" s="216" t="s">
        <v>3</v>
      </c>
      <c r="U13" s="218" t="s">
        <v>104</v>
      </c>
      <c r="V13" s="214" t="s">
        <v>2</v>
      </c>
      <c r="W13" s="216" t="s">
        <v>3</v>
      </c>
      <c r="X13" s="218" t="s">
        <v>104</v>
      </c>
      <c r="Y13" s="214" t="s">
        <v>2</v>
      </c>
      <c r="Z13" s="216" t="s">
        <v>3</v>
      </c>
      <c r="AA13" s="218" t="s">
        <v>104</v>
      </c>
      <c r="AB13" s="214" t="s">
        <v>2</v>
      </c>
      <c r="AC13" s="216" t="s">
        <v>3</v>
      </c>
      <c r="AD13" s="218" t="s">
        <v>104</v>
      </c>
      <c r="AE13" s="214" t="s">
        <v>2</v>
      </c>
      <c r="AF13" s="216" t="s">
        <v>3</v>
      </c>
      <c r="AG13" s="218" t="s">
        <v>104</v>
      </c>
      <c r="AH13" s="214" t="s">
        <v>2</v>
      </c>
      <c r="AI13" s="216" t="s">
        <v>3</v>
      </c>
      <c r="AJ13" s="218" t="s">
        <v>104</v>
      </c>
      <c r="AK13" s="214" t="s">
        <v>2</v>
      </c>
      <c r="AL13" s="216" t="s">
        <v>3</v>
      </c>
      <c r="AM13" s="218" t="s">
        <v>104</v>
      </c>
      <c r="AN13" s="214" t="s">
        <v>2</v>
      </c>
      <c r="AO13" s="216" t="s">
        <v>3</v>
      </c>
      <c r="AP13" s="218" t="s">
        <v>104</v>
      </c>
      <c r="AQ13" s="214" t="s">
        <v>2</v>
      </c>
      <c r="AR13" s="216" t="s">
        <v>3</v>
      </c>
      <c r="AS13" s="218" t="s">
        <v>104</v>
      </c>
      <c r="AT13" s="214" t="s">
        <v>2</v>
      </c>
      <c r="AU13" s="216" t="s">
        <v>3</v>
      </c>
      <c r="AV13" s="218" t="s">
        <v>104</v>
      </c>
      <c r="AW13" s="214" t="s">
        <v>2</v>
      </c>
      <c r="AX13" s="216" t="s">
        <v>3</v>
      </c>
      <c r="AY13" s="218" t="s">
        <v>104</v>
      </c>
      <c r="AZ13" s="214" t="s">
        <v>2</v>
      </c>
      <c r="BA13" s="216" t="s">
        <v>3</v>
      </c>
      <c r="BB13" s="218" t="s">
        <v>104</v>
      </c>
      <c r="BC13" s="214" t="s">
        <v>2</v>
      </c>
      <c r="BD13" s="216" t="s">
        <v>3</v>
      </c>
      <c r="BE13" s="218" t="s">
        <v>104</v>
      </c>
      <c r="BF13" s="214" t="s">
        <v>2</v>
      </c>
      <c r="BG13" s="216" t="s">
        <v>3</v>
      </c>
      <c r="BH13" s="218" t="s">
        <v>104</v>
      </c>
      <c r="BI13" s="214" t="s">
        <v>2</v>
      </c>
      <c r="BJ13" s="216" t="s">
        <v>3</v>
      </c>
      <c r="BK13" s="218" t="s">
        <v>104</v>
      </c>
      <c r="BL13" s="214" t="s">
        <v>2</v>
      </c>
      <c r="BM13" s="216" t="s">
        <v>3</v>
      </c>
      <c r="BN13" s="218" t="s">
        <v>104</v>
      </c>
      <c r="BO13" s="214" t="s">
        <v>2</v>
      </c>
      <c r="BP13" s="216" t="s">
        <v>3</v>
      </c>
      <c r="BQ13" s="218" t="s">
        <v>104</v>
      </c>
      <c r="BR13" s="214" t="s">
        <v>2</v>
      </c>
      <c r="BS13" s="216" t="s">
        <v>3</v>
      </c>
    </row>
    <row r="14" spans="1:72" ht="20.45" customHeight="1" x14ac:dyDescent="0.2">
      <c r="A14" s="11"/>
      <c r="B14" s="165" t="s">
        <v>109</v>
      </c>
      <c r="C14" s="166"/>
      <c r="D14" s="166"/>
      <c r="E14" s="166"/>
      <c r="F14" s="199"/>
      <c r="G14" s="166"/>
      <c r="H14" s="194">
        <f>SUM(H15:H17)</f>
        <v>108550776</v>
      </c>
      <c r="I14" s="195"/>
      <c r="J14" s="196">
        <f>SUM(J15:J17)</f>
        <v>107318250</v>
      </c>
      <c r="K14" s="197"/>
      <c r="L14" s="195"/>
      <c r="M14" s="196">
        <f t="shared" ref="M14" si="0">SUM(M15:M17)</f>
        <v>108550776</v>
      </c>
      <c r="N14" s="197"/>
      <c r="O14" s="195"/>
      <c r="P14" s="196">
        <f t="shared" ref="P14" si="1">SUM(P15:P17)</f>
        <v>0</v>
      </c>
      <c r="Q14" s="197"/>
      <c r="R14" s="195"/>
      <c r="S14" s="196">
        <f t="shared" ref="S14" si="2">SUM(S15:S17)</f>
        <v>108550774</v>
      </c>
      <c r="T14" s="197"/>
      <c r="U14" s="195"/>
      <c r="V14" s="196">
        <f t="shared" ref="V14" si="3">SUM(V15:V17)</f>
        <v>100927675</v>
      </c>
      <c r="W14" s="197"/>
      <c r="X14" s="195"/>
      <c r="Y14" s="196">
        <f t="shared" ref="Y14" si="4">SUM(Y15:Y17)</f>
        <v>0</v>
      </c>
      <c r="Z14" s="197"/>
      <c r="AA14" s="195"/>
      <c r="AB14" s="196">
        <f t="shared" ref="AB14" si="5">SUM(AB15:AB17)</f>
        <v>107136210</v>
      </c>
      <c r="AC14" s="197"/>
      <c r="AD14" s="195"/>
      <c r="AE14" s="196">
        <f t="shared" ref="AE14" si="6">SUM(AE15:AE17)</f>
        <v>107787146</v>
      </c>
      <c r="AF14" s="197"/>
      <c r="AG14" s="195"/>
      <c r="AH14" s="196">
        <f t="shared" ref="AH14" si="7">SUM(AH15:AH17)</f>
        <v>0</v>
      </c>
      <c r="AI14" s="197"/>
      <c r="AJ14" s="195"/>
      <c r="AK14" s="196">
        <f t="shared" ref="AK14" si="8">SUM(AK15:AK17)</f>
        <v>107102521</v>
      </c>
      <c r="AL14" s="197"/>
      <c r="AM14" s="195"/>
      <c r="AN14" s="196">
        <f t="shared" ref="AN14" si="9">SUM(AN15:AN17)</f>
        <v>0</v>
      </c>
      <c r="AO14" s="197"/>
      <c r="AP14" s="195"/>
      <c r="AQ14" s="196">
        <f t="shared" ref="AQ14" si="10">SUM(AQ15:AQ17)</f>
        <v>0</v>
      </c>
      <c r="AR14" s="197"/>
      <c r="AS14" s="195"/>
      <c r="AT14" s="196">
        <f t="shared" ref="AT14" si="11">SUM(AT15:AT17)</f>
        <v>108550776</v>
      </c>
      <c r="AU14" s="197"/>
      <c r="AV14" s="195"/>
      <c r="AW14" s="196">
        <f t="shared" ref="AW14" si="12">SUM(AW15:AW17)</f>
        <v>108550776</v>
      </c>
      <c r="AX14" s="197"/>
      <c r="AY14" s="195"/>
      <c r="AZ14" s="196">
        <f t="shared" ref="AZ14" si="13">SUM(AZ15:AZ17)</f>
        <v>0</v>
      </c>
      <c r="BA14" s="197"/>
      <c r="BB14" s="195"/>
      <c r="BC14" s="196">
        <f t="shared" ref="BC14" si="14">SUM(BC15:BC17)</f>
        <v>108430274</v>
      </c>
      <c r="BD14" s="197"/>
      <c r="BE14" s="195"/>
      <c r="BF14" s="196">
        <f t="shared" ref="BF14" si="15">SUM(BF15:BF17)</f>
        <v>101372300</v>
      </c>
      <c r="BG14" s="197"/>
      <c r="BH14" s="195"/>
      <c r="BI14" s="196">
        <f t="shared" ref="BI14" si="16">SUM(BI15:BI17)</f>
        <v>108550776</v>
      </c>
      <c r="BJ14" s="197"/>
      <c r="BK14" s="195"/>
      <c r="BL14" s="196">
        <f t="shared" ref="BL14" si="17">SUM(BL15:BL17)</f>
        <v>0</v>
      </c>
      <c r="BM14" s="197"/>
      <c r="BN14" s="195"/>
      <c r="BO14" s="196">
        <f t="shared" ref="BO14" si="18">SUM(BO15:BO17)</f>
        <v>108550776</v>
      </c>
      <c r="BP14" s="197"/>
      <c r="BQ14" s="195"/>
      <c r="BR14" s="196">
        <f t="shared" ref="BR14" si="19">SUM(BR15:BR17)</f>
        <v>102827260</v>
      </c>
      <c r="BS14" s="197"/>
    </row>
    <row r="15" spans="1:72" ht="30.6" customHeight="1" x14ac:dyDescent="0.2">
      <c r="A15" s="11"/>
      <c r="B15" s="167">
        <v>1</v>
      </c>
      <c r="C15" s="168" t="s">
        <v>124</v>
      </c>
      <c r="D15" s="169" t="s">
        <v>137</v>
      </c>
      <c r="E15" s="168" t="s">
        <v>138</v>
      </c>
      <c r="F15" s="198">
        <v>1.1000000000000001</v>
      </c>
      <c r="G15" s="285">
        <v>1813742</v>
      </c>
      <c r="H15" s="170">
        <f>ROUND(G15*F15,0)</f>
        <v>1995116</v>
      </c>
      <c r="I15" s="326">
        <v>1803165.68</v>
      </c>
      <c r="J15" s="171">
        <f>ROUND($F15*I15,0)</f>
        <v>1983482</v>
      </c>
      <c r="K15" s="172" t="str">
        <f>+IF(I15&gt;0,IF(OR(I15&gt;$G15,ROUND(I15,0)&gt;$G15),"NO VÁLIDA","VÁLIDA"),"NO VÁLIDA")</f>
        <v>VÁLIDA</v>
      </c>
      <c r="L15" s="288">
        <v>1813742</v>
      </c>
      <c r="M15" s="171">
        <f t="shared" ref="M15:M17" si="20">ROUND($F15*L15,0)</f>
        <v>1995116</v>
      </c>
      <c r="N15" s="172" t="str">
        <f t="shared" ref="N15:N17" si="21">+IF(L15&gt;0,IF(OR(L15&gt;$G15,ROUND(L15,0)&gt;$G15),"NO VÁLIDA","VÁLIDA"),"NO VÁLIDA")</f>
        <v>VÁLIDA</v>
      </c>
      <c r="O15" s="288"/>
      <c r="P15" s="171">
        <f t="shared" ref="P15:P17" si="22">ROUND($F15*O15,0)</f>
        <v>0</v>
      </c>
      <c r="Q15" s="172" t="str">
        <f t="shared" ref="Q15:Q17" si="23">+IF(O15&gt;0,IF(OR(O15&gt;$G15,ROUND(O15,0)&gt;$G15),"NO VÁLIDA","VÁLIDA"),"NO VÁLIDA")</f>
        <v>NO VÁLIDA</v>
      </c>
      <c r="R15" s="288">
        <v>1813740</v>
      </c>
      <c r="S15" s="171">
        <f t="shared" ref="S15:S17" si="24">ROUND($F15*R15,0)</f>
        <v>1995114</v>
      </c>
      <c r="T15" s="172" t="str">
        <f t="shared" ref="T15:T17" si="25">+IF(R15&gt;0,IF(OR(R15&gt;$G15,ROUND(R15,0)&gt;$G15),"NO VÁLIDA","VÁLIDA"),"NO VÁLIDA")</f>
        <v>VÁLIDA</v>
      </c>
      <c r="U15" s="288">
        <v>2000000</v>
      </c>
      <c r="V15" s="171">
        <f t="shared" ref="V15:V17" si="26">ROUND($F15*U15,0)</f>
        <v>2200000</v>
      </c>
      <c r="W15" s="172" t="str">
        <f t="shared" ref="W15:W17" si="27">+IF(U15&gt;0,IF(OR(U15&gt;$G15,ROUND(U15,0)&gt;$G15),"NO VÁLIDA","VÁLIDA"),"NO VÁLIDA")</f>
        <v>NO VÁLIDA</v>
      </c>
      <c r="X15" s="288"/>
      <c r="Y15" s="171">
        <f t="shared" ref="Y15:Y17" si="28">ROUND($F15*X15,0)</f>
        <v>0</v>
      </c>
      <c r="Z15" s="172" t="str">
        <f t="shared" ref="Z15:Z17" si="29">+IF(X15&gt;0,IF(OR(X15&gt;$G15,ROUND(X15,0)&gt;$G15),"NO VÁLIDA","VÁLIDA"),"NO VÁLIDA")</f>
        <v>NO VÁLIDA</v>
      </c>
      <c r="AA15" s="288">
        <v>1790163</v>
      </c>
      <c r="AB15" s="171">
        <f t="shared" ref="AB15:AB17" si="30">ROUND($F15*AA15,0)</f>
        <v>1969179</v>
      </c>
      <c r="AC15" s="172" t="str">
        <f t="shared" ref="AC15:AC17" si="31">+IF(AA15&gt;0,IF(OR(AA15&gt;$G15,ROUND(AA15,0)&gt;$G15),"NO VÁLIDA","VÁLIDA"),"NO VÁLIDA")</f>
        <v>VÁLIDA</v>
      </c>
      <c r="AD15" s="288">
        <v>1801046</v>
      </c>
      <c r="AE15" s="171">
        <f t="shared" ref="AE15:AE17" si="32">ROUND($F15*AD15,0)</f>
        <v>1981151</v>
      </c>
      <c r="AF15" s="172" t="str">
        <f t="shared" ref="AF15:AF17" si="33">+IF(AD15&gt;0,IF(OR(AD15&gt;$G15,ROUND(AD15,0)&gt;$G15),"NO VÁLIDA","VÁLIDA"),"NO VÁLIDA")</f>
        <v>VÁLIDA</v>
      </c>
      <c r="AG15" s="288"/>
      <c r="AH15" s="171">
        <f t="shared" ref="AH15:AH17" si="34">ROUND($F15*AG15,0)</f>
        <v>0</v>
      </c>
      <c r="AI15" s="172" t="str">
        <f t="shared" ref="AI15:AI17" si="35">+IF(AG15&gt;0,IF(OR(AG15&gt;$G15,ROUND(AG15,0)&gt;$G15),"NO VÁLIDA","VÁLIDA"),"NO VÁLIDA")</f>
        <v>NO VÁLIDA</v>
      </c>
      <c r="AJ15" s="288">
        <v>1789619</v>
      </c>
      <c r="AK15" s="171">
        <f t="shared" ref="AK15:AK17" si="36">ROUND($F15*AJ15,0)</f>
        <v>1968581</v>
      </c>
      <c r="AL15" s="172" t="str">
        <f t="shared" ref="AL15:AL17" si="37">+IF(AJ15&gt;0,IF(OR(AJ15&gt;$G15,ROUND(AJ15,0)&gt;$G15),"NO VÁLIDA","VÁLIDA"),"NO VÁLIDA")</f>
        <v>VÁLIDA</v>
      </c>
      <c r="AM15" s="288"/>
      <c r="AN15" s="171">
        <f t="shared" ref="AN15:AN17" si="38">ROUND($F15*AM15,0)</f>
        <v>0</v>
      </c>
      <c r="AO15" s="172" t="str">
        <f t="shared" ref="AO15:AO17" si="39">+IF(AM15&gt;0,IF(OR(AM15&gt;$G15,ROUND(AM15,0)&gt;$G15),"NO VÁLIDA","VÁLIDA"),"NO VÁLIDA")</f>
        <v>NO VÁLIDA</v>
      </c>
      <c r="AP15" s="288"/>
      <c r="AQ15" s="171">
        <f t="shared" ref="AQ15:AQ17" si="40">ROUND($F15*AP15,0)</f>
        <v>0</v>
      </c>
      <c r="AR15" s="172" t="str">
        <f t="shared" ref="AR15:AR17" si="41">+IF(AP15&gt;0,IF(OR(AP15&gt;$G15,ROUND(AP15,0)&gt;$G15),"NO VÁLIDA","VÁLIDA"),"NO VÁLIDA")</f>
        <v>NO VÁLIDA</v>
      </c>
      <c r="AS15" s="288">
        <v>1813742</v>
      </c>
      <c r="AT15" s="171">
        <f t="shared" ref="AT15:AT17" si="42">ROUND($F15*AS15,0)</f>
        <v>1995116</v>
      </c>
      <c r="AU15" s="172" t="str">
        <f t="shared" ref="AU15:AU17" si="43">+IF(AS15&gt;0,IF(OR(AS15&gt;$G15,ROUND(AS15,0)&gt;$G15),"NO VÁLIDA","VÁLIDA"),"NO VÁLIDA")</f>
        <v>VÁLIDA</v>
      </c>
      <c r="AV15" s="288">
        <v>1813742</v>
      </c>
      <c r="AW15" s="171">
        <f t="shared" ref="AW15:AW17" si="44">ROUND($F15*AV15,0)</f>
        <v>1995116</v>
      </c>
      <c r="AX15" s="172" t="str">
        <f t="shared" ref="AX15:AX17" si="45">+IF(AV15&gt;0,IF(OR(AV15&gt;$G15,ROUND(AV15,0)&gt;$G15),"NO VÁLIDA","VÁLIDA"),"NO VÁLIDA")</f>
        <v>VÁLIDA</v>
      </c>
      <c r="AY15" s="288"/>
      <c r="AZ15" s="171">
        <f t="shared" ref="AZ15:AZ17" si="46">ROUND($F15*AY15,0)</f>
        <v>0</v>
      </c>
      <c r="BA15" s="172" t="str">
        <f t="shared" ref="BA15:BA17" si="47">+IF(AY15&gt;0,IF(OR(AY15&gt;$G15,ROUND(AY15,0)&gt;$G15),"NO VÁLIDA","VÁLIDA"),"NO VÁLIDA")</f>
        <v>NO VÁLIDA</v>
      </c>
      <c r="BB15" s="288">
        <v>1763560</v>
      </c>
      <c r="BC15" s="171">
        <f t="shared" ref="BC15:BC17" si="48">ROUND($F15*BB15,0)</f>
        <v>1939916</v>
      </c>
      <c r="BD15" s="172" t="str">
        <f t="shared" ref="BD15:BD17" si="49">+IF(BB15&gt;0,IF(OR(BB15&gt;$G15,ROUND(BB15,0)&gt;$G15),"NO VÁLIDA","VÁLIDA"),"NO VÁLIDA")</f>
        <v>VÁLIDA</v>
      </c>
      <c r="BE15" s="288">
        <v>1800000</v>
      </c>
      <c r="BF15" s="171">
        <f t="shared" ref="BF15:BF17" si="50">ROUND($F15*BE15,0)</f>
        <v>1980000</v>
      </c>
      <c r="BG15" s="172" t="str">
        <f t="shared" ref="BG15:BG17" si="51">+IF(BE15&gt;0,IF(OR(BE15&gt;$G15,ROUND(BE15,0)&gt;$G15),"NO VÁLIDA","VÁLIDA"),"NO VÁLIDA")</f>
        <v>VÁLIDA</v>
      </c>
      <c r="BH15" s="288">
        <v>1813742</v>
      </c>
      <c r="BI15" s="171">
        <f t="shared" ref="BI15:BI17" si="52">ROUND($F15*BH15,0)</f>
        <v>1995116</v>
      </c>
      <c r="BJ15" s="172" t="str">
        <f t="shared" ref="BJ15:BJ17" si="53">+IF(BH15&gt;0,IF(OR(BH15&gt;$G15,ROUND(BH15,0)&gt;$G15),"NO VÁLIDA","VÁLIDA"),"NO VÁLIDA")</f>
        <v>VÁLIDA</v>
      </c>
      <c r="BK15" s="288"/>
      <c r="BL15" s="171">
        <f t="shared" ref="BL15:BL17" si="54">ROUND($F15*BK15,0)</f>
        <v>0</v>
      </c>
      <c r="BM15" s="172" t="str">
        <f t="shared" ref="BM15:BM17" si="55">+IF(BK15&gt;0,IF(OR(BK15&gt;$G15,ROUND(BK15,0)&gt;$G15),"NO VÁLIDA","VÁLIDA"),"NO VÁLIDA")</f>
        <v>NO VÁLIDA</v>
      </c>
      <c r="BN15" s="288">
        <v>1813742</v>
      </c>
      <c r="BO15" s="171">
        <f t="shared" ref="BO15:BO17" si="56">ROUND($F15*BN15,0)</f>
        <v>1995116</v>
      </c>
      <c r="BP15" s="172" t="str">
        <f t="shared" ref="BP15:BP17" si="57">+IF(BN15&gt;0,IF(OR(BN15&gt;$G15,ROUND(BN15,0)&gt;$G15),"NO VÁLIDA","VÁLIDA"),"NO VÁLIDA")</f>
        <v>VÁLIDA</v>
      </c>
      <c r="BQ15" s="288">
        <v>1811786</v>
      </c>
      <c r="BR15" s="171">
        <f t="shared" ref="BR15:BR17" si="58">ROUND($F15*BQ15,0)</f>
        <v>1992965</v>
      </c>
      <c r="BS15" s="172" t="str">
        <f t="shared" ref="BS15:BS17" si="59">+IF(BQ15&gt;0,IF(OR(BQ15&gt;$G15,ROUND(BQ15,0)&gt;$G15),"NO VÁLIDA","VÁLIDA"),"NO VÁLIDA")</f>
        <v>VÁLIDA</v>
      </c>
    </row>
    <row r="16" spans="1:72" ht="40.5" customHeight="1" x14ac:dyDescent="0.2">
      <c r="A16" s="11"/>
      <c r="B16" s="167">
        <v>2</v>
      </c>
      <c r="C16" s="168" t="s">
        <v>125</v>
      </c>
      <c r="D16" s="169" t="s">
        <v>166</v>
      </c>
      <c r="E16" s="168" t="s">
        <v>139</v>
      </c>
      <c r="F16" s="198">
        <v>10235</v>
      </c>
      <c r="G16" s="285">
        <v>9669</v>
      </c>
      <c r="H16" s="170">
        <f t="shared" ref="H16:H17" si="60">ROUND(G16*F16,0)</f>
        <v>98962215</v>
      </c>
      <c r="I16" s="326">
        <v>9558.5400000000009</v>
      </c>
      <c r="J16" s="171">
        <f t="shared" ref="J16:J17" si="61">ROUND($F16*I16,0)</f>
        <v>97831657</v>
      </c>
      <c r="K16" s="172" t="str">
        <f t="shared" ref="K16:K17" si="62">+IF(I16&gt;0,IF(OR(I16&gt;$G16,ROUND(I16,0)&gt;$G16),"NO VÁLIDA","VÁLIDA"),"NO VÁLIDA")</f>
        <v>VÁLIDA</v>
      </c>
      <c r="L16" s="288">
        <v>9669</v>
      </c>
      <c r="M16" s="171">
        <f t="shared" si="20"/>
        <v>98962215</v>
      </c>
      <c r="N16" s="172" t="str">
        <f t="shared" si="21"/>
        <v>VÁLIDA</v>
      </c>
      <c r="O16" s="288"/>
      <c r="P16" s="171">
        <f t="shared" si="22"/>
        <v>0</v>
      </c>
      <c r="Q16" s="172" t="str">
        <f t="shared" si="23"/>
        <v>NO VÁLIDA</v>
      </c>
      <c r="R16" s="288">
        <v>9669</v>
      </c>
      <c r="S16" s="171">
        <f t="shared" si="24"/>
        <v>98962215</v>
      </c>
      <c r="T16" s="172" t="str">
        <f t="shared" si="25"/>
        <v>VÁLIDA</v>
      </c>
      <c r="U16" s="288">
        <v>9005</v>
      </c>
      <c r="V16" s="171">
        <f t="shared" si="26"/>
        <v>92166175</v>
      </c>
      <c r="W16" s="172" t="str">
        <f t="shared" si="27"/>
        <v>VÁLIDA</v>
      </c>
      <c r="X16" s="288"/>
      <c r="Y16" s="171">
        <f t="shared" si="28"/>
        <v>0</v>
      </c>
      <c r="Z16" s="172" t="str">
        <f t="shared" si="29"/>
        <v>NO VÁLIDA</v>
      </c>
      <c r="AA16" s="288">
        <v>9543</v>
      </c>
      <c r="AB16" s="171">
        <f t="shared" si="30"/>
        <v>97672605</v>
      </c>
      <c r="AC16" s="172" t="str">
        <f t="shared" si="31"/>
        <v>VÁLIDA</v>
      </c>
      <c r="AD16" s="288">
        <v>9601</v>
      </c>
      <c r="AE16" s="171">
        <f t="shared" si="32"/>
        <v>98266235</v>
      </c>
      <c r="AF16" s="172" t="str">
        <f t="shared" si="33"/>
        <v>VÁLIDA</v>
      </c>
      <c r="AG16" s="288"/>
      <c r="AH16" s="171">
        <f t="shared" si="34"/>
        <v>0</v>
      </c>
      <c r="AI16" s="172" t="str">
        <f t="shared" si="35"/>
        <v>NO VÁLIDA</v>
      </c>
      <c r="AJ16" s="288">
        <v>9540</v>
      </c>
      <c r="AK16" s="171">
        <f t="shared" si="36"/>
        <v>97641900</v>
      </c>
      <c r="AL16" s="172" t="str">
        <f t="shared" si="37"/>
        <v>VÁLIDA</v>
      </c>
      <c r="AM16" s="288"/>
      <c r="AN16" s="171">
        <f t="shared" si="38"/>
        <v>0</v>
      </c>
      <c r="AO16" s="172" t="str">
        <f t="shared" si="39"/>
        <v>NO VÁLIDA</v>
      </c>
      <c r="AP16" s="288"/>
      <c r="AQ16" s="171">
        <f t="shared" si="40"/>
        <v>0</v>
      </c>
      <c r="AR16" s="172" t="str">
        <f t="shared" si="41"/>
        <v>NO VÁLIDA</v>
      </c>
      <c r="AS16" s="288">
        <v>9669</v>
      </c>
      <c r="AT16" s="171">
        <f t="shared" si="42"/>
        <v>98962215</v>
      </c>
      <c r="AU16" s="172" t="str">
        <f t="shared" si="43"/>
        <v>VÁLIDA</v>
      </c>
      <c r="AV16" s="288">
        <v>9669</v>
      </c>
      <c r="AW16" s="171">
        <f t="shared" si="44"/>
        <v>98962215</v>
      </c>
      <c r="AX16" s="172" t="str">
        <f t="shared" si="45"/>
        <v>VÁLIDA</v>
      </c>
      <c r="AY16" s="288"/>
      <c r="AZ16" s="171">
        <f t="shared" si="46"/>
        <v>0</v>
      </c>
      <c r="BA16" s="172" t="str">
        <f t="shared" si="47"/>
        <v>NO VÁLIDA</v>
      </c>
      <c r="BB16" s="288">
        <v>9666</v>
      </c>
      <c r="BC16" s="171">
        <f t="shared" si="48"/>
        <v>98931510</v>
      </c>
      <c r="BD16" s="172" t="str">
        <f t="shared" si="49"/>
        <v>VÁLIDA</v>
      </c>
      <c r="BE16" s="288">
        <v>9000</v>
      </c>
      <c r="BF16" s="171">
        <f t="shared" si="50"/>
        <v>92115000</v>
      </c>
      <c r="BG16" s="172" t="str">
        <f t="shared" si="51"/>
        <v>VÁLIDA</v>
      </c>
      <c r="BH16" s="288">
        <v>9669</v>
      </c>
      <c r="BI16" s="171">
        <f t="shared" si="52"/>
        <v>98962215</v>
      </c>
      <c r="BJ16" s="172" t="str">
        <f t="shared" si="53"/>
        <v>VÁLIDA</v>
      </c>
      <c r="BK16" s="288"/>
      <c r="BL16" s="171">
        <f t="shared" si="54"/>
        <v>0</v>
      </c>
      <c r="BM16" s="172" t="str">
        <f t="shared" si="55"/>
        <v>NO VÁLIDA</v>
      </c>
      <c r="BN16" s="288">
        <v>9669</v>
      </c>
      <c r="BO16" s="171">
        <f t="shared" si="56"/>
        <v>98962215</v>
      </c>
      <c r="BP16" s="172" t="str">
        <f t="shared" si="57"/>
        <v>VÁLIDA</v>
      </c>
      <c r="BQ16" s="288">
        <v>9110</v>
      </c>
      <c r="BR16" s="171">
        <f t="shared" si="58"/>
        <v>93240850</v>
      </c>
      <c r="BS16" s="172" t="str">
        <f t="shared" si="59"/>
        <v>VÁLIDA</v>
      </c>
    </row>
    <row r="17" spans="1:71" ht="40.5" customHeight="1" thickBot="1" x14ac:dyDescent="0.25">
      <c r="A17" s="11"/>
      <c r="B17" s="167">
        <v>3</v>
      </c>
      <c r="C17" s="168" t="s">
        <v>97</v>
      </c>
      <c r="D17" s="169" t="s">
        <v>140</v>
      </c>
      <c r="E17" s="168" t="s">
        <v>141</v>
      </c>
      <c r="F17" s="198">
        <v>1193</v>
      </c>
      <c r="G17" s="285">
        <v>6365</v>
      </c>
      <c r="H17" s="170">
        <f t="shared" si="60"/>
        <v>7593445</v>
      </c>
      <c r="I17" s="326">
        <v>6289.28</v>
      </c>
      <c r="J17" s="171">
        <f t="shared" si="61"/>
        <v>7503111</v>
      </c>
      <c r="K17" s="172" t="str">
        <f t="shared" si="62"/>
        <v>VÁLIDA</v>
      </c>
      <c r="L17" s="288">
        <v>6365</v>
      </c>
      <c r="M17" s="171">
        <f t="shared" si="20"/>
        <v>7593445</v>
      </c>
      <c r="N17" s="172" t="str">
        <f t="shared" si="21"/>
        <v>VÁLIDA</v>
      </c>
      <c r="O17" s="288"/>
      <c r="P17" s="171">
        <f t="shared" si="22"/>
        <v>0</v>
      </c>
      <c r="Q17" s="172" t="str">
        <f t="shared" si="23"/>
        <v>NO VÁLIDA</v>
      </c>
      <c r="R17" s="288">
        <v>6365</v>
      </c>
      <c r="S17" s="171">
        <f t="shared" si="24"/>
        <v>7593445</v>
      </c>
      <c r="T17" s="172" t="str">
        <f t="shared" si="25"/>
        <v>VÁLIDA</v>
      </c>
      <c r="U17" s="288">
        <v>5500</v>
      </c>
      <c r="V17" s="171">
        <f t="shared" si="26"/>
        <v>6561500</v>
      </c>
      <c r="W17" s="172" t="str">
        <f t="shared" si="27"/>
        <v>VÁLIDA</v>
      </c>
      <c r="X17" s="288"/>
      <c r="Y17" s="171">
        <f t="shared" si="28"/>
        <v>0</v>
      </c>
      <c r="Z17" s="172" t="str">
        <f t="shared" si="29"/>
        <v>NO VÁLIDA</v>
      </c>
      <c r="AA17" s="288">
        <v>6282</v>
      </c>
      <c r="AB17" s="171">
        <f t="shared" si="30"/>
        <v>7494426</v>
      </c>
      <c r="AC17" s="172" t="str">
        <f t="shared" si="31"/>
        <v>VÁLIDA</v>
      </c>
      <c r="AD17" s="288">
        <v>6320</v>
      </c>
      <c r="AE17" s="171">
        <f t="shared" si="32"/>
        <v>7539760</v>
      </c>
      <c r="AF17" s="172" t="str">
        <f t="shared" si="33"/>
        <v>VÁLIDA</v>
      </c>
      <c r="AG17" s="288"/>
      <c r="AH17" s="171">
        <f t="shared" si="34"/>
        <v>0</v>
      </c>
      <c r="AI17" s="172" t="str">
        <f t="shared" si="35"/>
        <v>NO VÁLIDA</v>
      </c>
      <c r="AJ17" s="288">
        <v>6280</v>
      </c>
      <c r="AK17" s="171">
        <f t="shared" si="36"/>
        <v>7492040</v>
      </c>
      <c r="AL17" s="172" t="str">
        <f t="shared" si="37"/>
        <v>VÁLIDA</v>
      </c>
      <c r="AM17" s="288"/>
      <c r="AN17" s="171">
        <f t="shared" si="38"/>
        <v>0</v>
      </c>
      <c r="AO17" s="172" t="str">
        <f t="shared" si="39"/>
        <v>NO VÁLIDA</v>
      </c>
      <c r="AP17" s="288"/>
      <c r="AQ17" s="171">
        <f t="shared" si="40"/>
        <v>0</v>
      </c>
      <c r="AR17" s="172" t="str">
        <f t="shared" si="41"/>
        <v>NO VÁLIDA</v>
      </c>
      <c r="AS17" s="288">
        <v>6365</v>
      </c>
      <c r="AT17" s="171">
        <f t="shared" si="42"/>
        <v>7593445</v>
      </c>
      <c r="AU17" s="172" t="str">
        <f t="shared" si="43"/>
        <v>VÁLIDA</v>
      </c>
      <c r="AV17" s="288">
        <v>6365</v>
      </c>
      <c r="AW17" s="171">
        <f t="shared" si="44"/>
        <v>7593445</v>
      </c>
      <c r="AX17" s="172" t="str">
        <f t="shared" si="45"/>
        <v>VÁLIDA</v>
      </c>
      <c r="AY17" s="288"/>
      <c r="AZ17" s="171">
        <f t="shared" si="46"/>
        <v>0</v>
      </c>
      <c r="BA17" s="172" t="str">
        <f t="shared" si="47"/>
        <v>NO VÁLIDA</v>
      </c>
      <c r="BB17" s="288">
        <v>6336</v>
      </c>
      <c r="BC17" s="171">
        <f t="shared" si="48"/>
        <v>7558848</v>
      </c>
      <c r="BD17" s="172" t="str">
        <f t="shared" si="49"/>
        <v>VÁLIDA</v>
      </c>
      <c r="BE17" s="288">
        <v>6100</v>
      </c>
      <c r="BF17" s="171">
        <f t="shared" si="50"/>
        <v>7277300</v>
      </c>
      <c r="BG17" s="172" t="str">
        <f t="shared" si="51"/>
        <v>VÁLIDA</v>
      </c>
      <c r="BH17" s="288">
        <v>6365</v>
      </c>
      <c r="BI17" s="171">
        <f t="shared" si="52"/>
        <v>7593445</v>
      </c>
      <c r="BJ17" s="172" t="str">
        <f t="shared" si="53"/>
        <v>VÁLIDA</v>
      </c>
      <c r="BK17" s="288"/>
      <c r="BL17" s="171">
        <f t="shared" si="54"/>
        <v>0</v>
      </c>
      <c r="BM17" s="172" t="str">
        <f t="shared" si="55"/>
        <v>NO VÁLIDA</v>
      </c>
      <c r="BN17" s="288">
        <v>6365</v>
      </c>
      <c r="BO17" s="171">
        <f t="shared" si="56"/>
        <v>7593445</v>
      </c>
      <c r="BP17" s="172" t="str">
        <f t="shared" si="57"/>
        <v>VÁLIDA</v>
      </c>
      <c r="BQ17" s="288">
        <v>6365</v>
      </c>
      <c r="BR17" s="171">
        <f t="shared" si="58"/>
        <v>7593445</v>
      </c>
      <c r="BS17" s="172" t="str">
        <f t="shared" si="59"/>
        <v>VÁLIDA</v>
      </c>
    </row>
    <row r="18" spans="1:71" ht="20.45" customHeight="1" x14ac:dyDescent="0.2">
      <c r="A18" s="11"/>
      <c r="B18" s="165" t="s">
        <v>121</v>
      </c>
      <c r="C18" s="166"/>
      <c r="D18" s="166"/>
      <c r="E18" s="166"/>
      <c r="F18" s="199"/>
      <c r="G18" s="286"/>
      <c r="H18" s="194">
        <f>SUM(H19:H21)</f>
        <v>377317991</v>
      </c>
      <c r="I18" s="327"/>
      <c r="J18" s="196">
        <f>SUM(J19:J21)</f>
        <v>372845824</v>
      </c>
      <c r="K18" s="197"/>
      <c r="L18" s="289"/>
      <c r="M18" s="196">
        <f t="shared" ref="M18" si="63">SUM(M19:M21)</f>
        <v>377317991</v>
      </c>
      <c r="N18" s="197"/>
      <c r="O18" s="289"/>
      <c r="P18" s="196">
        <f t="shared" ref="P18" si="64">SUM(P19:P21)</f>
        <v>0</v>
      </c>
      <c r="Q18" s="197"/>
      <c r="R18" s="289"/>
      <c r="S18" s="196">
        <f t="shared" ref="S18" si="65">SUM(S19:S21)</f>
        <v>377306315</v>
      </c>
      <c r="T18" s="197"/>
      <c r="U18" s="289"/>
      <c r="V18" s="196">
        <f t="shared" ref="V18" si="66">SUM(V19:V21)</f>
        <v>308104094</v>
      </c>
      <c r="W18" s="197"/>
      <c r="X18" s="289"/>
      <c r="Y18" s="196">
        <f t="shared" ref="Y18" si="67">SUM(Y19:Y21)</f>
        <v>0</v>
      </c>
      <c r="Z18" s="197"/>
      <c r="AA18" s="289"/>
      <c r="AB18" s="196">
        <f t="shared" ref="AB18" si="68">SUM(AB19:AB21)</f>
        <v>372412294</v>
      </c>
      <c r="AC18" s="197"/>
      <c r="AD18" s="289"/>
      <c r="AE18" s="196">
        <f t="shared" ref="AE18" si="69">SUM(AE19:AE21)</f>
        <v>374670276</v>
      </c>
      <c r="AF18" s="197"/>
      <c r="AG18" s="289"/>
      <c r="AH18" s="196">
        <f t="shared" ref="AH18" si="70">SUM(AH19:AH21)</f>
        <v>0</v>
      </c>
      <c r="AI18" s="197"/>
      <c r="AJ18" s="289"/>
      <c r="AK18" s="196">
        <f t="shared" ref="AK18" si="71">SUM(AK19:AK21)</f>
        <v>372299632</v>
      </c>
      <c r="AL18" s="197"/>
      <c r="AM18" s="289"/>
      <c r="AN18" s="196">
        <f t="shared" ref="AN18" si="72">SUM(AN19:AN21)</f>
        <v>0</v>
      </c>
      <c r="AO18" s="197"/>
      <c r="AP18" s="289"/>
      <c r="AQ18" s="196">
        <f t="shared" ref="AQ18" si="73">SUM(AQ19:AQ21)</f>
        <v>0</v>
      </c>
      <c r="AR18" s="197"/>
      <c r="AS18" s="289"/>
      <c r="AT18" s="196">
        <f t="shared" ref="AT18" si="74">SUM(AT19:AT21)</f>
        <v>377317991</v>
      </c>
      <c r="AU18" s="197"/>
      <c r="AV18" s="289"/>
      <c r="AW18" s="196">
        <f t="shared" ref="AW18" si="75">SUM(AW19:AW21)</f>
        <v>371600290</v>
      </c>
      <c r="AX18" s="197"/>
      <c r="AY18" s="289"/>
      <c r="AZ18" s="196">
        <f t="shared" ref="AZ18" si="76">SUM(AZ19:AZ21)</f>
        <v>0</v>
      </c>
      <c r="BA18" s="197"/>
      <c r="BB18" s="289"/>
      <c r="BC18" s="196">
        <f t="shared" ref="BC18" si="77">SUM(BC19:BC21)</f>
        <v>365263018</v>
      </c>
      <c r="BD18" s="197"/>
      <c r="BE18" s="289"/>
      <c r="BF18" s="196">
        <f t="shared" ref="BF18" si="78">SUM(BF19:BF21)</f>
        <v>370078500</v>
      </c>
      <c r="BG18" s="197"/>
      <c r="BH18" s="289"/>
      <c r="BI18" s="196">
        <f t="shared" ref="BI18" si="79">SUM(BI19:BI21)</f>
        <v>377317991</v>
      </c>
      <c r="BJ18" s="197"/>
      <c r="BK18" s="289"/>
      <c r="BL18" s="196">
        <f t="shared" ref="BL18" si="80">SUM(BL19:BL21)</f>
        <v>0</v>
      </c>
      <c r="BM18" s="197"/>
      <c r="BN18" s="289"/>
      <c r="BO18" s="196">
        <f t="shared" ref="BO18" si="81">SUM(BO19:BO21)</f>
        <v>377317991</v>
      </c>
      <c r="BP18" s="197"/>
      <c r="BQ18" s="289"/>
      <c r="BR18" s="196">
        <f t="shared" ref="BR18" si="82">SUM(BR19:BR21)</f>
        <v>363525079</v>
      </c>
      <c r="BS18" s="197"/>
    </row>
    <row r="19" spans="1:71" ht="30.6" customHeight="1" x14ac:dyDescent="0.2">
      <c r="A19" s="11"/>
      <c r="B19" s="167">
        <v>4</v>
      </c>
      <c r="C19" s="168" t="s">
        <v>105</v>
      </c>
      <c r="D19" s="169" t="s">
        <v>142</v>
      </c>
      <c r="E19" s="168" t="s">
        <v>139</v>
      </c>
      <c r="F19" s="198">
        <v>10235</v>
      </c>
      <c r="G19" s="285">
        <v>1914</v>
      </c>
      <c r="H19" s="170">
        <f t="shared" ref="H19:H21" si="83">ROUND(G19*F19,0)</f>
        <v>19589790</v>
      </c>
      <c r="I19" s="326">
        <v>1892.35</v>
      </c>
      <c r="J19" s="171">
        <f t="shared" ref="J19:J21" si="84">ROUND($F19*I19,0)</f>
        <v>19368202</v>
      </c>
      <c r="K19" s="172" t="str">
        <f t="shared" ref="K19:K21" si="85">+IF(I19&gt;0,IF(OR(I19&gt;$G19,ROUND(I19,0)&gt;$G19),"NO VÁLIDA","VÁLIDA"),"NO VÁLIDA")</f>
        <v>VÁLIDA</v>
      </c>
      <c r="L19" s="288">
        <v>1914</v>
      </c>
      <c r="M19" s="171">
        <f t="shared" ref="M19:M21" si="86">ROUND($F19*L19,0)</f>
        <v>19589790</v>
      </c>
      <c r="N19" s="172" t="str">
        <f t="shared" ref="N19:N21" si="87">+IF(L19&gt;0,IF(OR(L19&gt;$G19,ROUND(L19,0)&gt;$G19),"NO VÁLIDA","VÁLIDA"),"NO VÁLIDA")</f>
        <v>VÁLIDA</v>
      </c>
      <c r="O19" s="288"/>
      <c r="P19" s="171">
        <f t="shared" ref="P19:P21" si="88">ROUND($F19*O19,0)</f>
        <v>0</v>
      </c>
      <c r="Q19" s="172" t="str">
        <f t="shared" ref="Q19:Q21" si="89">+IF(O19&gt;0,IF(OR(O19&gt;$G19,ROUND(O19,0)&gt;$G19),"NO VÁLIDA","VÁLIDA"),"NO VÁLIDA")</f>
        <v>NO VÁLIDA</v>
      </c>
      <c r="R19" s="288">
        <v>1913</v>
      </c>
      <c r="S19" s="171">
        <f t="shared" ref="S19:S21" si="90">ROUND($F19*R19,0)</f>
        <v>19579555</v>
      </c>
      <c r="T19" s="172" t="str">
        <f t="shared" ref="T19:T21" si="91">+IF(R19&gt;0,IF(OR(R19&gt;$G19,ROUND(R19,0)&gt;$G19),"NO VÁLIDA","VÁLIDA"),"NO VÁLIDA")</f>
        <v>VÁLIDA</v>
      </c>
      <c r="U19" s="288">
        <v>1551</v>
      </c>
      <c r="V19" s="171">
        <f t="shared" ref="V19:V21" si="92">ROUND($F19*U19,0)</f>
        <v>15874485</v>
      </c>
      <c r="W19" s="172" t="str">
        <f t="shared" ref="W19:W21" si="93">+IF(U19&gt;0,IF(OR(U19&gt;$G19,ROUND(U19,0)&gt;$G19),"NO VÁLIDA","VÁLIDA"),"NO VÁLIDA")</f>
        <v>VÁLIDA</v>
      </c>
      <c r="X19" s="288"/>
      <c r="Y19" s="171">
        <f t="shared" ref="Y19:Y21" si="94">ROUND($F19*X19,0)</f>
        <v>0</v>
      </c>
      <c r="Z19" s="172" t="str">
        <f t="shared" ref="Z19:Z21" si="95">+IF(X19&gt;0,IF(OR(X19&gt;$G19,ROUND(X19,0)&gt;$G19),"NO VÁLIDA","VÁLIDA"),"NO VÁLIDA")</f>
        <v>NO VÁLIDA</v>
      </c>
      <c r="AA19" s="288">
        <v>1889</v>
      </c>
      <c r="AB19" s="171">
        <f t="shared" ref="AB19:AB21" si="96">ROUND($F19*AA19,0)</f>
        <v>19333915</v>
      </c>
      <c r="AC19" s="172" t="str">
        <f t="shared" ref="AC19:AC21" si="97">+IF(AA19&gt;0,IF(OR(AA19&gt;$G19,ROUND(AA19,0)&gt;$G19),"NO VÁLIDA","VÁLIDA"),"NO VÁLIDA")</f>
        <v>VÁLIDA</v>
      </c>
      <c r="AD19" s="288">
        <v>1900</v>
      </c>
      <c r="AE19" s="171">
        <f t="shared" ref="AE19:AE21" si="98">ROUND($F19*AD19,0)</f>
        <v>19446500</v>
      </c>
      <c r="AF19" s="172" t="str">
        <f t="shared" ref="AF19:AF21" si="99">+IF(AD19&gt;0,IF(OR(AD19&gt;$G19,ROUND(AD19,0)&gt;$G19),"NO VÁLIDA","VÁLIDA"),"NO VÁLIDA")</f>
        <v>VÁLIDA</v>
      </c>
      <c r="AG19" s="288"/>
      <c r="AH19" s="171">
        <f t="shared" ref="AH19:AH21" si="100">ROUND($F19*AG19,0)</f>
        <v>0</v>
      </c>
      <c r="AI19" s="172" t="str">
        <f t="shared" ref="AI19:AI21" si="101">+IF(AG19&gt;0,IF(OR(AG19&gt;$G19,ROUND(AG19,0)&gt;$G19),"NO VÁLIDA","VÁLIDA"),"NO VÁLIDA")</f>
        <v>NO VÁLIDA</v>
      </c>
      <c r="AJ19" s="326">
        <v>1888.54</v>
      </c>
      <c r="AK19" s="171">
        <f t="shared" ref="AK19:AK21" si="102">ROUND($F19*AJ19,0)</f>
        <v>19329207</v>
      </c>
      <c r="AL19" s="172" t="str">
        <f t="shared" ref="AL19:AL21" si="103">+IF(AJ19&gt;0,IF(OR(AJ19&gt;$G19,ROUND(AJ19,0)&gt;$G19),"NO VÁLIDA","VÁLIDA"),"NO VÁLIDA")</f>
        <v>VÁLIDA</v>
      </c>
      <c r="AM19" s="288"/>
      <c r="AN19" s="171">
        <f t="shared" ref="AN19:AN21" si="104">ROUND($F19*AM19,0)</f>
        <v>0</v>
      </c>
      <c r="AO19" s="172" t="str">
        <f t="shared" ref="AO19:AO21" si="105">+IF(AM19&gt;0,IF(OR(AM19&gt;$G19,ROUND(AM19,0)&gt;$G19),"NO VÁLIDA","VÁLIDA"),"NO VÁLIDA")</f>
        <v>NO VÁLIDA</v>
      </c>
      <c r="AP19" s="288"/>
      <c r="AQ19" s="171">
        <f t="shared" ref="AQ19:AQ21" si="106">ROUND($F19*AP19,0)</f>
        <v>0</v>
      </c>
      <c r="AR19" s="172" t="str">
        <f t="shared" ref="AR19:AR21" si="107">+IF(AP19&gt;0,IF(OR(AP19&gt;$G19,ROUND(AP19,0)&gt;$G19),"NO VÁLIDA","VÁLIDA"),"NO VÁLIDA")</f>
        <v>NO VÁLIDA</v>
      </c>
      <c r="AS19" s="288">
        <v>1914</v>
      </c>
      <c r="AT19" s="171">
        <f t="shared" ref="AT19:AT21" si="108">ROUND($F19*AS19,0)</f>
        <v>19589790</v>
      </c>
      <c r="AU19" s="172" t="str">
        <f t="shared" ref="AU19:AU21" si="109">+IF(AS19&gt;0,IF(OR(AS19&gt;$G19,ROUND(AS19,0)&gt;$G19),"NO VÁLIDA","VÁLIDA"),"NO VÁLIDA")</f>
        <v>VÁLIDA</v>
      </c>
      <c r="AV19" s="288">
        <v>1914</v>
      </c>
      <c r="AW19" s="171">
        <f t="shared" ref="AW19:AW21" si="110">ROUND($F19*AV19,0)</f>
        <v>19589790</v>
      </c>
      <c r="AX19" s="172" t="str">
        <f t="shared" ref="AX19:AX21" si="111">+IF(AV19&gt;0,IF(OR(AV19&gt;$G19,ROUND(AV19,0)&gt;$G19),"NO VÁLIDA","VÁLIDA"),"NO VÁLIDA")</f>
        <v>VÁLIDA</v>
      </c>
      <c r="AY19" s="288"/>
      <c r="AZ19" s="171">
        <f t="shared" ref="AZ19:AZ21" si="112">ROUND($F19*AY19,0)</f>
        <v>0</v>
      </c>
      <c r="BA19" s="172" t="str">
        <f t="shared" ref="BA19:BA21" si="113">+IF(AY19&gt;0,IF(OR(AY19&gt;$G19,ROUND(AY19,0)&gt;$G19),"NO VÁLIDA","VÁLIDA"),"NO VÁLIDA")</f>
        <v>NO VÁLIDA</v>
      </c>
      <c r="BB19" s="288">
        <v>1896</v>
      </c>
      <c r="BC19" s="171">
        <f t="shared" ref="BC19:BC21" si="114">ROUND($F19*BB19,0)</f>
        <v>19405560</v>
      </c>
      <c r="BD19" s="172" t="str">
        <f t="shared" ref="BD19:BD21" si="115">+IF(BB19&gt;0,IF(OR(BB19&gt;$G19,ROUND(BB19,0)&gt;$G19),"NO VÁLIDA","VÁLIDA"),"NO VÁLIDA")</f>
        <v>VÁLIDA</v>
      </c>
      <c r="BE19" s="288">
        <v>1900</v>
      </c>
      <c r="BF19" s="171">
        <f t="shared" ref="BF19:BF21" si="116">ROUND($F19*BE19,0)</f>
        <v>19446500</v>
      </c>
      <c r="BG19" s="172" t="str">
        <f t="shared" ref="BG19:BG21" si="117">+IF(BE19&gt;0,IF(OR(BE19&gt;$G19,ROUND(BE19,0)&gt;$G19),"NO VÁLIDA","VÁLIDA"),"NO VÁLIDA")</f>
        <v>VÁLIDA</v>
      </c>
      <c r="BH19" s="288">
        <v>1914</v>
      </c>
      <c r="BI19" s="171">
        <f t="shared" ref="BI19:BI21" si="118">ROUND($F19*BH19,0)</f>
        <v>19589790</v>
      </c>
      <c r="BJ19" s="172" t="str">
        <f t="shared" ref="BJ19:BJ21" si="119">+IF(BH19&gt;0,IF(OR(BH19&gt;$G19,ROUND(BH19,0)&gt;$G19),"NO VÁLIDA","VÁLIDA"),"NO VÁLIDA")</f>
        <v>VÁLIDA</v>
      </c>
      <c r="BK19" s="288"/>
      <c r="BL19" s="171">
        <f t="shared" ref="BL19:BL21" si="120">ROUND($F19*BK19,0)</f>
        <v>0</v>
      </c>
      <c r="BM19" s="172" t="str">
        <f t="shared" ref="BM19:BM21" si="121">+IF(BK19&gt;0,IF(OR(BK19&gt;$G19,ROUND(BK19,0)&gt;$G19),"NO VÁLIDA","VÁLIDA"),"NO VÁLIDA")</f>
        <v>NO VÁLIDA</v>
      </c>
      <c r="BN19" s="288">
        <v>1914</v>
      </c>
      <c r="BO19" s="171">
        <f t="shared" ref="BO19:BO21" si="122">ROUND($F19*BN19,0)</f>
        <v>19589790</v>
      </c>
      <c r="BP19" s="172" t="str">
        <f t="shared" ref="BP19:BP21" si="123">+IF(BN19&gt;0,IF(OR(BN19&gt;$G19,ROUND(BN19,0)&gt;$G19),"NO VÁLIDA","VÁLIDA"),"NO VÁLIDA")</f>
        <v>VÁLIDA</v>
      </c>
      <c r="BQ19" s="288">
        <v>1914</v>
      </c>
      <c r="BR19" s="171">
        <f t="shared" ref="BR19:BR21" si="124">ROUND($F19*BQ19,0)</f>
        <v>19589790</v>
      </c>
      <c r="BS19" s="172" t="str">
        <f t="shared" ref="BS19:BS21" si="125">+IF(BQ19&gt;0,IF(OR(BQ19&gt;$G19,ROUND(BQ19,0)&gt;$G19),"NO VÁLIDA","VÁLIDA"),"NO VÁLIDA")</f>
        <v>VÁLIDA</v>
      </c>
    </row>
    <row r="20" spans="1:71" ht="30.6" customHeight="1" x14ac:dyDescent="0.2">
      <c r="A20" s="11"/>
      <c r="B20" s="167">
        <v>5</v>
      </c>
      <c r="C20" s="168" t="s">
        <v>126</v>
      </c>
      <c r="D20" s="169" t="s">
        <v>143</v>
      </c>
      <c r="E20" s="168" t="s">
        <v>141</v>
      </c>
      <c r="F20" s="198">
        <v>1316</v>
      </c>
      <c r="G20" s="285">
        <v>102150</v>
      </c>
      <c r="H20" s="170">
        <f t="shared" si="83"/>
        <v>134429400</v>
      </c>
      <c r="I20" s="326">
        <v>100939.36</v>
      </c>
      <c r="J20" s="171">
        <f t="shared" si="84"/>
        <v>132836198</v>
      </c>
      <c r="K20" s="172" t="str">
        <f t="shared" si="85"/>
        <v>VÁLIDA</v>
      </c>
      <c r="L20" s="288">
        <v>102150</v>
      </c>
      <c r="M20" s="171">
        <f t="shared" si="86"/>
        <v>134429400</v>
      </c>
      <c r="N20" s="172" t="str">
        <f t="shared" si="87"/>
        <v>VÁLIDA</v>
      </c>
      <c r="O20" s="288"/>
      <c r="P20" s="171">
        <f t="shared" si="88"/>
        <v>0</v>
      </c>
      <c r="Q20" s="172" t="str">
        <f t="shared" si="89"/>
        <v>NO VÁLIDA</v>
      </c>
      <c r="R20" s="288">
        <v>102150</v>
      </c>
      <c r="S20" s="171">
        <f t="shared" si="90"/>
        <v>134429400</v>
      </c>
      <c r="T20" s="172" t="str">
        <f t="shared" si="91"/>
        <v>VÁLIDA</v>
      </c>
      <c r="U20" s="288">
        <v>85049</v>
      </c>
      <c r="V20" s="171">
        <f t="shared" si="92"/>
        <v>111924484</v>
      </c>
      <c r="W20" s="172" t="str">
        <f t="shared" si="93"/>
        <v>VÁLIDA</v>
      </c>
      <c r="X20" s="288"/>
      <c r="Y20" s="171">
        <f t="shared" si="94"/>
        <v>0</v>
      </c>
      <c r="Z20" s="172" t="str">
        <f t="shared" si="95"/>
        <v>NO VÁLIDA</v>
      </c>
      <c r="AA20" s="288">
        <v>100822</v>
      </c>
      <c r="AB20" s="171">
        <f t="shared" si="96"/>
        <v>132681752</v>
      </c>
      <c r="AC20" s="172" t="str">
        <f t="shared" si="97"/>
        <v>VÁLIDA</v>
      </c>
      <c r="AD20" s="288">
        <v>101435</v>
      </c>
      <c r="AE20" s="171">
        <f t="shared" si="98"/>
        <v>133488460</v>
      </c>
      <c r="AF20" s="172" t="str">
        <f t="shared" si="99"/>
        <v>VÁLIDA</v>
      </c>
      <c r="AG20" s="288"/>
      <c r="AH20" s="171">
        <f t="shared" si="100"/>
        <v>0</v>
      </c>
      <c r="AI20" s="172" t="str">
        <f t="shared" si="101"/>
        <v>NO VÁLIDA</v>
      </c>
      <c r="AJ20" s="326">
        <v>100791.41</v>
      </c>
      <c r="AK20" s="171">
        <f t="shared" si="102"/>
        <v>132641496</v>
      </c>
      <c r="AL20" s="172" t="str">
        <f t="shared" si="103"/>
        <v>VÁLIDA</v>
      </c>
      <c r="AM20" s="288"/>
      <c r="AN20" s="171">
        <f t="shared" si="104"/>
        <v>0</v>
      </c>
      <c r="AO20" s="172" t="str">
        <f t="shared" si="105"/>
        <v>NO VÁLIDA</v>
      </c>
      <c r="AP20" s="288"/>
      <c r="AQ20" s="171">
        <f t="shared" si="106"/>
        <v>0</v>
      </c>
      <c r="AR20" s="172" t="str">
        <f t="shared" si="107"/>
        <v>NO VÁLIDA</v>
      </c>
      <c r="AS20" s="288">
        <v>102150</v>
      </c>
      <c r="AT20" s="171">
        <f t="shared" si="108"/>
        <v>134429400</v>
      </c>
      <c r="AU20" s="172" t="str">
        <f t="shared" si="109"/>
        <v>VÁLIDA</v>
      </c>
      <c r="AV20" s="288">
        <v>100500</v>
      </c>
      <c r="AW20" s="171">
        <f t="shared" si="110"/>
        <v>132258000</v>
      </c>
      <c r="AX20" s="172" t="str">
        <f t="shared" si="111"/>
        <v>VÁLIDA</v>
      </c>
      <c r="AY20" s="288"/>
      <c r="AZ20" s="171">
        <f t="shared" si="112"/>
        <v>0</v>
      </c>
      <c r="BA20" s="172" t="str">
        <f t="shared" si="113"/>
        <v>NO VÁLIDA</v>
      </c>
      <c r="BB20" s="288">
        <v>102033</v>
      </c>
      <c r="BC20" s="171">
        <f t="shared" si="114"/>
        <v>134275428</v>
      </c>
      <c r="BD20" s="172" t="str">
        <f t="shared" si="115"/>
        <v>VÁLIDA</v>
      </c>
      <c r="BE20" s="288">
        <v>100000</v>
      </c>
      <c r="BF20" s="171">
        <f t="shared" si="116"/>
        <v>131600000</v>
      </c>
      <c r="BG20" s="172" t="str">
        <f t="shared" si="117"/>
        <v>VÁLIDA</v>
      </c>
      <c r="BH20" s="288">
        <v>102150</v>
      </c>
      <c r="BI20" s="171">
        <f t="shared" si="118"/>
        <v>134429400</v>
      </c>
      <c r="BJ20" s="172" t="str">
        <f t="shared" si="119"/>
        <v>VÁLIDA</v>
      </c>
      <c r="BK20" s="288"/>
      <c r="BL20" s="171">
        <f t="shared" si="120"/>
        <v>0</v>
      </c>
      <c r="BM20" s="172" t="str">
        <f t="shared" si="121"/>
        <v>NO VÁLIDA</v>
      </c>
      <c r="BN20" s="288">
        <v>102150</v>
      </c>
      <c r="BO20" s="171">
        <f t="shared" si="122"/>
        <v>134429400</v>
      </c>
      <c r="BP20" s="172" t="str">
        <f t="shared" si="123"/>
        <v>VÁLIDA</v>
      </c>
      <c r="BQ20" s="288">
        <v>99150</v>
      </c>
      <c r="BR20" s="171">
        <f t="shared" si="124"/>
        <v>130481400</v>
      </c>
      <c r="BS20" s="172" t="str">
        <f t="shared" si="125"/>
        <v>VÁLIDA</v>
      </c>
    </row>
    <row r="21" spans="1:71" ht="30.6" customHeight="1" thickBot="1" x14ac:dyDescent="0.25">
      <c r="A21" s="11"/>
      <c r="B21" s="167">
        <v>6</v>
      </c>
      <c r="C21" s="168" t="s">
        <v>127</v>
      </c>
      <c r="D21" s="169" t="s">
        <v>144</v>
      </c>
      <c r="E21" s="168" t="s">
        <v>141</v>
      </c>
      <c r="F21" s="198">
        <v>1441</v>
      </c>
      <c r="G21" s="285">
        <v>154961</v>
      </c>
      <c r="H21" s="170">
        <f t="shared" si="83"/>
        <v>223298801</v>
      </c>
      <c r="I21" s="326">
        <v>153116.88</v>
      </c>
      <c r="J21" s="171">
        <f t="shared" si="84"/>
        <v>220641424</v>
      </c>
      <c r="K21" s="172" t="str">
        <f t="shared" si="85"/>
        <v>VÁLIDA</v>
      </c>
      <c r="L21" s="288">
        <v>154961</v>
      </c>
      <c r="M21" s="171">
        <f t="shared" si="86"/>
        <v>223298801</v>
      </c>
      <c r="N21" s="172" t="str">
        <f t="shared" si="87"/>
        <v>VÁLIDA</v>
      </c>
      <c r="O21" s="288"/>
      <c r="P21" s="171">
        <f t="shared" si="88"/>
        <v>0</v>
      </c>
      <c r="Q21" s="172" t="str">
        <f t="shared" si="89"/>
        <v>NO VÁLIDA</v>
      </c>
      <c r="R21" s="288">
        <v>154960</v>
      </c>
      <c r="S21" s="171">
        <f t="shared" si="90"/>
        <v>223297360</v>
      </c>
      <c r="T21" s="172" t="str">
        <f t="shared" si="91"/>
        <v>VÁLIDA</v>
      </c>
      <c r="U21" s="288">
        <v>125125</v>
      </c>
      <c r="V21" s="171">
        <f t="shared" si="92"/>
        <v>180305125</v>
      </c>
      <c r="W21" s="172" t="str">
        <f t="shared" si="93"/>
        <v>VÁLIDA</v>
      </c>
      <c r="X21" s="288"/>
      <c r="Y21" s="171">
        <f t="shared" si="94"/>
        <v>0</v>
      </c>
      <c r="Z21" s="172" t="str">
        <f t="shared" si="95"/>
        <v>NO VÁLIDA</v>
      </c>
      <c r="AA21" s="288">
        <v>152947</v>
      </c>
      <c r="AB21" s="171">
        <f t="shared" si="96"/>
        <v>220396627</v>
      </c>
      <c r="AC21" s="172" t="str">
        <f t="shared" si="97"/>
        <v>VÁLIDA</v>
      </c>
      <c r="AD21" s="288">
        <v>153876</v>
      </c>
      <c r="AE21" s="171">
        <f t="shared" si="98"/>
        <v>221735316</v>
      </c>
      <c r="AF21" s="172" t="str">
        <f t="shared" si="99"/>
        <v>VÁLIDA</v>
      </c>
      <c r="AG21" s="288"/>
      <c r="AH21" s="171">
        <f t="shared" si="100"/>
        <v>0</v>
      </c>
      <c r="AI21" s="172" t="str">
        <f t="shared" si="101"/>
        <v>NO VÁLIDA</v>
      </c>
      <c r="AJ21" s="326">
        <v>152900.01999999999</v>
      </c>
      <c r="AK21" s="171">
        <f t="shared" si="102"/>
        <v>220328929</v>
      </c>
      <c r="AL21" s="172" t="str">
        <f t="shared" si="103"/>
        <v>VÁLIDA</v>
      </c>
      <c r="AM21" s="288"/>
      <c r="AN21" s="171">
        <f t="shared" si="104"/>
        <v>0</v>
      </c>
      <c r="AO21" s="172" t="str">
        <f t="shared" si="105"/>
        <v>NO VÁLIDA</v>
      </c>
      <c r="AP21" s="288"/>
      <c r="AQ21" s="171">
        <f t="shared" si="106"/>
        <v>0</v>
      </c>
      <c r="AR21" s="172" t="str">
        <f t="shared" si="107"/>
        <v>NO VÁLIDA</v>
      </c>
      <c r="AS21" s="288">
        <v>154961</v>
      </c>
      <c r="AT21" s="171">
        <f t="shared" si="108"/>
        <v>223298801</v>
      </c>
      <c r="AU21" s="172" t="str">
        <f t="shared" si="109"/>
        <v>VÁLIDA</v>
      </c>
      <c r="AV21" s="288">
        <v>152500</v>
      </c>
      <c r="AW21" s="171">
        <f t="shared" si="110"/>
        <v>219752500</v>
      </c>
      <c r="AX21" s="172" t="str">
        <f t="shared" si="111"/>
        <v>VÁLIDA</v>
      </c>
      <c r="AY21" s="288"/>
      <c r="AZ21" s="171">
        <f t="shared" si="112"/>
        <v>0</v>
      </c>
      <c r="BA21" s="172" t="str">
        <f t="shared" si="113"/>
        <v>NO VÁLIDA</v>
      </c>
      <c r="BB21" s="288">
        <v>146830</v>
      </c>
      <c r="BC21" s="171">
        <f t="shared" si="114"/>
        <v>211582030</v>
      </c>
      <c r="BD21" s="172" t="str">
        <f t="shared" si="115"/>
        <v>VÁLIDA</v>
      </c>
      <c r="BE21" s="288">
        <v>152000</v>
      </c>
      <c r="BF21" s="171">
        <f t="shared" si="116"/>
        <v>219032000</v>
      </c>
      <c r="BG21" s="172" t="str">
        <f t="shared" si="117"/>
        <v>VÁLIDA</v>
      </c>
      <c r="BH21" s="288">
        <v>154961</v>
      </c>
      <c r="BI21" s="171">
        <f t="shared" si="118"/>
        <v>223298801</v>
      </c>
      <c r="BJ21" s="172" t="str">
        <f t="shared" si="119"/>
        <v>VÁLIDA</v>
      </c>
      <c r="BK21" s="288"/>
      <c r="BL21" s="171">
        <f t="shared" si="120"/>
        <v>0</v>
      </c>
      <c r="BM21" s="172" t="str">
        <f t="shared" si="121"/>
        <v>NO VÁLIDA</v>
      </c>
      <c r="BN21" s="288">
        <v>154961</v>
      </c>
      <c r="BO21" s="171">
        <f t="shared" si="122"/>
        <v>223298801</v>
      </c>
      <c r="BP21" s="172" t="str">
        <f t="shared" si="123"/>
        <v>VÁLIDA</v>
      </c>
      <c r="BQ21" s="288">
        <v>148129</v>
      </c>
      <c r="BR21" s="171">
        <f t="shared" si="124"/>
        <v>213453889</v>
      </c>
      <c r="BS21" s="172" t="str">
        <f t="shared" si="125"/>
        <v>VÁLIDA</v>
      </c>
    </row>
    <row r="22" spans="1:71" ht="22.5" customHeight="1" x14ac:dyDescent="0.2">
      <c r="A22" s="11"/>
      <c r="B22" s="165" t="s">
        <v>122</v>
      </c>
      <c r="C22" s="166"/>
      <c r="D22" s="166"/>
      <c r="E22" s="166"/>
      <c r="F22" s="199"/>
      <c r="G22" s="286"/>
      <c r="H22" s="194">
        <f>SUM(H23:H25)</f>
        <v>939790030</v>
      </c>
      <c r="I22" s="327"/>
      <c r="J22" s="196">
        <f>SUM(J23:J25)</f>
        <v>931376705</v>
      </c>
      <c r="K22" s="197"/>
      <c r="L22" s="289"/>
      <c r="M22" s="196">
        <f t="shared" ref="M22" si="126">SUM(M23:M25)</f>
        <v>897846000</v>
      </c>
      <c r="N22" s="197"/>
      <c r="O22" s="289"/>
      <c r="P22" s="196">
        <f t="shared" ref="P22" si="127">SUM(P23:P25)</f>
        <v>0</v>
      </c>
      <c r="Q22" s="197"/>
      <c r="R22" s="289"/>
      <c r="S22" s="196">
        <f t="shared" ref="S22" si="128">SUM(S23:S25)</f>
        <v>939748362</v>
      </c>
      <c r="T22" s="197"/>
      <c r="U22" s="289"/>
      <c r="V22" s="196">
        <f t="shared" ref="V22" si="129">SUM(V23:V25)</f>
        <v>874677050</v>
      </c>
      <c r="W22" s="197"/>
      <c r="X22" s="289"/>
      <c r="Y22" s="196">
        <f t="shared" ref="Y22" si="130">SUM(Y23:Y25)</f>
        <v>0</v>
      </c>
      <c r="Z22" s="197"/>
      <c r="AA22" s="289"/>
      <c r="AB22" s="196">
        <f t="shared" ref="AB22" si="131">SUM(AB23:AB25)</f>
        <v>927571908</v>
      </c>
      <c r="AC22" s="197"/>
      <c r="AD22" s="289"/>
      <c r="AE22" s="196">
        <f t="shared" ref="AE22" si="132">SUM(AE23:AE25)</f>
        <v>933211226</v>
      </c>
      <c r="AF22" s="197"/>
      <c r="AG22" s="289"/>
      <c r="AH22" s="196">
        <f t="shared" ref="AH22" si="133">SUM(AH23:AH25)</f>
        <v>0</v>
      </c>
      <c r="AI22" s="197"/>
      <c r="AJ22" s="289"/>
      <c r="AK22" s="196">
        <f t="shared" ref="AK22" si="134">SUM(AK23:AK25)</f>
        <v>927289472</v>
      </c>
      <c r="AL22" s="197"/>
      <c r="AM22" s="289"/>
      <c r="AN22" s="196">
        <f t="shared" ref="AN22" si="135">SUM(AN23:AN25)</f>
        <v>0</v>
      </c>
      <c r="AO22" s="197"/>
      <c r="AP22" s="289"/>
      <c r="AQ22" s="196">
        <f t="shared" ref="AQ22" si="136">SUM(AQ23:AQ25)</f>
        <v>0</v>
      </c>
      <c r="AR22" s="197"/>
      <c r="AS22" s="289"/>
      <c r="AT22" s="196">
        <f t="shared" ref="AT22" si="137">SUM(AT23:AT25)</f>
        <v>926679296</v>
      </c>
      <c r="AU22" s="197"/>
      <c r="AV22" s="289"/>
      <c r="AW22" s="196">
        <f t="shared" ref="AW22" si="138">SUM(AW23:AW25)</f>
        <v>896470440</v>
      </c>
      <c r="AX22" s="197"/>
      <c r="AY22" s="289"/>
      <c r="AZ22" s="196">
        <f t="shared" ref="AZ22" si="139">SUM(AZ23:AZ25)</f>
        <v>0</v>
      </c>
      <c r="BA22" s="197"/>
      <c r="BB22" s="289"/>
      <c r="BC22" s="196">
        <f t="shared" ref="BC22" si="140">SUM(BC23:BC25)</f>
        <v>922388970</v>
      </c>
      <c r="BD22" s="197"/>
      <c r="BE22" s="289"/>
      <c r="BF22" s="196">
        <f t="shared" ref="BF22" si="141">SUM(BF23:BF25)</f>
        <v>936517000</v>
      </c>
      <c r="BG22" s="197"/>
      <c r="BH22" s="289"/>
      <c r="BI22" s="196">
        <f t="shared" ref="BI22" si="142">SUM(BI23:BI25)</f>
        <v>906589296</v>
      </c>
      <c r="BJ22" s="197"/>
      <c r="BK22" s="289"/>
      <c r="BL22" s="196">
        <f t="shared" ref="BL22" si="143">SUM(BL23:BL25)</f>
        <v>0</v>
      </c>
      <c r="BM22" s="197"/>
      <c r="BN22" s="289"/>
      <c r="BO22" s="196">
        <f t="shared" ref="BO22" si="144">SUM(BO23:BO25)</f>
        <v>934112596</v>
      </c>
      <c r="BP22" s="197"/>
      <c r="BQ22" s="289"/>
      <c r="BR22" s="196">
        <f t="shared" ref="BR22" si="145">SUM(BR23:BR25)</f>
        <v>921415716</v>
      </c>
      <c r="BS22" s="197"/>
    </row>
    <row r="23" spans="1:71" ht="40.5" customHeight="1" x14ac:dyDescent="0.2">
      <c r="A23" s="11"/>
      <c r="B23" s="167">
        <v>7</v>
      </c>
      <c r="C23" s="168" t="s">
        <v>128</v>
      </c>
      <c r="D23" s="169" t="s">
        <v>145</v>
      </c>
      <c r="E23" s="168" t="s">
        <v>139</v>
      </c>
      <c r="F23" s="198">
        <v>4018</v>
      </c>
      <c r="G23" s="285">
        <v>118263</v>
      </c>
      <c r="H23" s="170">
        <f t="shared" ref="H23:H25" si="146">ROUND(G23*F23,0)</f>
        <v>475180734</v>
      </c>
      <c r="I23" s="326">
        <v>116951.07</v>
      </c>
      <c r="J23" s="171">
        <f t="shared" ref="J23:J25" si="147">ROUND($F23*I23,0)</f>
        <v>469909399</v>
      </c>
      <c r="K23" s="172" t="str">
        <f t="shared" ref="K23:K24" si="148">+IF(I23&gt;0,IF(OR(I23&gt;$G23,ROUND(I23,0)&gt;$G23),"NO VÁLIDA","VÁLIDA"),"NO VÁLIDA")</f>
        <v>VÁLIDA</v>
      </c>
      <c r="L23" s="288">
        <v>115000</v>
      </c>
      <c r="M23" s="171">
        <f t="shared" ref="M23:M25" si="149">ROUND($F23*L23,0)</f>
        <v>462070000</v>
      </c>
      <c r="N23" s="172" t="str">
        <f t="shared" ref="N23:N25" si="150">+IF(L23&gt;0,IF(OR(L23&gt;$G23,ROUND(L23,0)&gt;$G23),"NO VÁLIDA","VÁLIDA"),"NO VÁLIDA")</f>
        <v>VÁLIDA</v>
      </c>
      <c r="O23" s="288"/>
      <c r="P23" s="171">
        <f t="shared" ref="P23:P25" si="151">ROUND($F23*O23,0)</f>
        <v>0</v>
      </c>
      <c r="Q23" s="172" t="str">
        <f t="shared" ref="Q23:Q25" si="152">+IF(O23&gt;0,IF(OR(O23&gt;$G23,ROUND(O23,0)&gt;$G23),"NO VÁLIDA","VÁLIDA"),"NO VÁLIDA")</f>
        <v>NO VÁLIDA</v>
      </c>
      <c r="R23" s="288">
        <v>118263</v>
      </c>
      <c r="S23" s="171">
        <f t="shared" ref="S23:S25" si="153">ROUND($F23*R23,0)</f>
        <v>475180734</v>
      </c>
      <c r="T23" s="172" t="str">
        <f t="shared" ref="T23:T25" si="154">+IF(R23&gt;0,IF(OR(R23&gt;$G23,ROUND(R23,0)&gt;$G23),"NO VÁLIDA","VÁLIDA"),"NO VÁLIDA")</f>
        <v>VÁLIDA</v>
      </c>
      <c r="U23" s="288">
        <v>115079</v>
      </c>
      <c r="V23" s="171">
        <f t="shared" ref="V23:V25" si="155">ROUND($F23*U23,0)</f>
        <v>462387422</v>
      </c>
      <c r="W23" s="172" t="str">
        <f t="shared" ref="W23:W25" si="156">+IF(U23&gt;0,IF(OR(U23&gt;$G23,ROUND(U23,0)&gt;$G23),"NO VÁLIDA","VÁLIDA"),"NO VÁLIDA")</f>
        <v>VÁLIDA</v>
      </c>
      <c r="X23" s="288"/>
      <c r="Y23" s="171">
        <f t="shared" ref="Y23:Y25" si="157">ROUND($F23*X23,0)</f>
        <v>0</v>
      </c>
      <c r="Z23" s="172" t="str">
        <f t="shared" ref="Z23:Z25" si="158">+IF(X23&gt;0,IF(OR(X23&gt;$G23,ROUND(X23,0)&gt;$G23),"NO VÁLIDA","VÁLIDA"),"NO VÁLIDA")</f>
        <v>NO VÁLIDA</v>
      </c>
      <c r="AA23" s="288">
        <v>116726</v>
      </c>
      <c r="AB23" s="171">
        <f t="shared" ref="AB23:AB25" si="159">ROUND($F23*AA23,0)</f>
        <v>469005068</v>
      </c>
      <c r="AC23" s="172" t="str">
        <f t="shared" ref="AC23:AC25" si="160">+IF(AA23&gt;0,IF(OR(AA23&gt;$G23,ROUND(AA23,0)&gt;$G23),"NO VÁLIDA","VÁLIDA"),"NO VÁLIDA")</f>
        <v>VÁLIDA</v>
      </c>
      <c r="AD23" s="288">
        <v>117435</v>
      </c>
      <c r="AE23" s="171">
        <f t="shared" ref="AE23:AE25" si="161">ROUND($F23*AD23,0)</f>
        <v>471853830</v>
      </c>
      <c r="AF23" s="172" t="str">
        <f t="shared" ref="AF23:AF25" si="162">+IF(AD23&gt;0,IF(OR(AD23&gt;$G23,ROUND(AD23,0)&gt;$G23),"NO VÁLIDA","VÁLIDA"),"NO VÁLIDA")</f>
        <v>VÁLIDA</v>
      </c>
      <c r="AG23" s="288"/>
      <c r="AH23" s="171">
        <f t="shared" ref="AH23:AH25" si="163">ROUND($F23*AG23,0)</f>
        <v>0</v>
      </c>
      <c r="AI23" s="172" t="str">
        <f t="shared" ref="AI23:AI25" si="164">+IF(AG23&gt;0,IF(OR(AG23&gt;$G23,ROUND(AG23,0)&gt;$G23),"NO VÁLIDA","VÁLIDA"),"NO VÁLIDA")</f>
        <v>NO VÁLIDA</v>
      </c>
      <c r="AJ23" s="288">
        <v>116690</v>
      </c>
      <c r="AK23" s="171">
        <f t="shared" ref="AK23:AK25" si="165">ROUND($F23*AJ23,0)</f>
        <v>468860420</v>
      </c>
      <c r="AL23" s="172" t="str">
        <f t="shared" ref="AL23:AL25" si="166">+IF(AJ23&gt;0,IF(OR(AJ23&gt;$G23,ROUND(AJ23,0)&gt;$G23),"NO VÁLIDA","VÁLIDA"),"NO VÁLIDA")</f>
        <v>VÁLIDA</v>
      </c>
      <c r="AM23" s="288"/>
      <c r="AN23" s="171">
        <f t="shared" ref="AN23:AN25" si="167">ROUND($F23*AM23,0)</f>
        <v>0</v>
      </c>
      <c r="AO23" s="172" t="str">
        <f t="shared" ref="AO23:AO25" si="168">+IF(AM23&gt;0,IF(OR(AM23&gt;$G23,ROUND(AM23,0)&gt;$G23),"NO VÁLIDA","VÁLIDA"),"NO VÁLIDA")</f>
        <v>NO VÁLIDA</v>
      </c>
      <c r="AP23" s="288"/>
      <c r="AQ23" s="171">
        <f t="shared" ref="AQ23:AQ25" si="169">ROUND($F23*AP23,0)</f>
        <v>0</v>
      </c>
      <c r="AR23" s="172" t="str">
        <f t="shared" ref="AR23:AR25" si="170">+IF(AP23&gt;0,IF(OR(AP23&gt;$G23,ROUND(AP23,0)&gt;$G23),"NO VÁLIDA","VÁLIDA"),"NO VÁLIDA")</f>
        <v>NO VÁLIDA</v>
      </c>
      <c r="AS23" s="288">
        <v>115000</v>
      </c>
      <c r="AT23" s="171">
        <f t="shared" ref="AT23:AT25" si="171">ROUND($F23*AS23,0)</f>
        <v>462070000</v>
      </c>
      <c r="AU23" s="172" t="str">
        <f t="shared" ref="AU23:AU25" si="172">+IF(AS23&gt;0,IF(OR(AS23&gt;$G23,ROUND(AS23,0)&gt;$G23),"NO VÁLIDA","VÁLIDA"),"NO VÁLIDA")</f>
        <v>VÁLIDA</v>
      </c>
      <c r="AV23" s="288">
        <v>110500</v>
      </c>
      <c r="AW23" s="171">
        <f t="shared" ref="AW23:AW25" si="173">ROUND($F23*AV23,0)</f>
        <v>443989000</v>
      </c>
      <c r="AX23" s="172" t="str">
        <f t="shared" ref="AX23:AX25" si="174">+IF(AV23&gt;0,IF(OR(AV23&gt;$G23,ROUND(AV23,0)&gt;$G23),"NO VÁLIDA","VÁLIDA"),"NO VÁLIDA")</f>
        <v>VÁLIDA</v>
      </c>
      <c r="AY23" s="288"/>
      <c r="AZ23" s="171">
        <f t="shared" ref="AZ23:AZ25" si="175">ROUND($F23*AY23,0)</f>
        <v>0</v>
      </c>
      <c r="BA23" s="172" t="str">
        <f t="shared" ref="BA23:BA25" si="176">+IF(AY23&gt;0,IF(OR(AY23&gt;$G23,ROUND(AY23,0)&gt;$G23),"NO VÁLIDA","VÁLIDA"),"NO VÁLIDA")</f>
        <v>NO VÁLIDA</v>
      </c>
      <c r="BB23" s="288">
        <v>114957</v>
      </c>
      <c r="BC23" s="171">
        <f t="shared" ref="BC23:BC25" si="177">ROUND($F23*BB23,0)</f>
        <v>461897226</v>
      </c>
      <c r="BD23" s="172" t="str">
        <f t="shared" ref="BD23:BD25" si="178">+IF(BB23&gt;0,IF(OR(BB23&gt;$G23,ROUND(BB23,0)&gt;$G23),"NO VÁLIDA","VÁLIDA"),"NO VÁLIDA")</f>
        <v>VÁLIDA</v>
      </c>
      <c r="BE23" s="288">
        <v>118100</v>
      </c>
      <c r="BF23" s="171">
        <f t="shared" ref="BF23:BF25" si="179">ROUND($F23*BE23,0)</f>
        <v>474525800</v>
      </c>
      <c r="BG23" s="172" t="str">
        <f t="shared" ref="BG23:BG25" si="180">+IF(BE23&gt;0,IF(OR(BE23&gt;$G23,ROUND(BE23,0)&gt;$G23),"NO VÁLIDA","VÁLIDA"),"NO VÁLIDA")</f>
        <v>VÁLIDA</v>
      </c>
      <c r="BH23" s="288">
        <v>110000</v>
      </c>
      <c r="BI23" s="171">
        <f t="shared" ref="BI23:BI25" si="181">ROUND($F23*BH23,0)</f>
        <v>441980000</v>
      </c>
      <c r="BJ23" s="172" t="str">
        <f t="shared" ref="BJ23:BJ25" si="182">+IF(BH23&gt;0,IF(OR(BH23&gt;$G23,ROUND(BH23,0)&gt;$G23),"NO VÁLIDA","VÁLIDA"),"NO VÁLIDA")</f>
        <v>VÁLIDA</v>
      </c>
      <c r="BK23" s="288"/>
      <c r="BL23" s="171">
        <f t="shared" ref="BL23:BL25" si="183">ROUND($F23*BK23,0)</f>
        <v>0</v>
      </c>
      <c r="BM23" s="172" t="str">
        <f t="shared" ref="BM23:BM25" si="184">+IF(BK23&gt;0,IF(OR(BK23&gt;$G23,ROUND(BK23,0)&gt;$G23),"NO VÁLIDA","VÁLIDA"),"NO VÁLIDA")</f>
        <v>NO VÁLIDA</v>
      </c>
      <c r="BN23" s="288">
        <v>116850</v>
      </c>
      <c r="BO23" s="171">
        <f t="shared" ref="BO23:BO25" si="185">ROUND($F23*BN23,0)</f>
        <v>469503300</v>
      </c>
      <c r="BP23" s="172" t="str">
        <f t="shared" ref="BP23:BP25" si="186">+IF(BN23&gt;0,IF(OR(BN23&gt;$G23,ROUND(BN23,0)&gt;$G23),"NO VÁLIDA","VÁLIDA"),"NO VÁLIDA")</f>
        <v>VÁLIDA</v>
      </c>
      <c r="BQ23" s="288">
        <v>113690</v>
      </c>
      <c r="BR23" s="171">
        <f t="shared" ref="BR23:BR25" si="187">ROUND($F23*BQ23,0)</f>
        <v>456806420</v>
      </c>
      <c r="BS23" s="172" t="str">
        <f t="shared" ref="BS23:BS25" si="188">+IF(BQ23&gt;0,IF(OR(BQ23&gt;$G23,ROUND(BQ23,0)&gt;$G23),"NO VÁLIDA","VÁLIDA"),"NO VÁLIDA")</f>
        <v>VÁLIDA</v>
      </c>
    </row>
    <row r="24" spans="1:71" ht="30.6" customHeight="1" x14ac:dyDescent="0.2">
      <c r="A24" s="11"/>
      <c r="B24" s="167">
        <v>8</v>
      </c>
      <c r="C24" s="168" t="s">
        <v>129</v>
      </c>
      <c r="D24" s="169" t="s">
        <v>146</v>
      </c>
      <c r="E24" s="168" t="s">
        <v>139</v>
      </c>
      <c r="F24" s="198">
        <v>3236</v>
      </c>
      <c r="G24" s="285">
        <v>86735</v>
      </c>
      <c r="H24" s="170">
        <f t="shared" ref="H24" si="189">ROUND(G24*F24,0)</f>
        <v>280674460</v>
      </c>
      <c r="I24" s="326">
        <v>86296.28</v>
      </c>
      <c r="J24" s="171">
        <f t="shared" si="147"/>
        <v>279254762</v>
      </c>
      <c r="K24" s="172" t="str">
        <f t="shared" si="148"/>
        <v>VÁLIDA</v>
      </c>
      <c r="L24" s="288">
        <v>82000</v>
      </c>
      <c r="M24" s="171">
        <f t="shared" si="149"/>
        <v>265352000</v>
      </c>
      <c r="N24" s="172" t="str">
        <f t="shared" si="150"/>
        <v>VÁLIDA</v>
      </c>
      <c r="O24" s="288"/>
      <c r="P24" s="171">
        <f t="shared" si="151"/>
        <v>0</v>
      </c>
      <c r="Q24" s="172" t="str">
        <f t="shared" si="152"/>
        <v>NO VÁLIDA</v>
      </c>
      <c r="R24" s="288">
        <v>86727</v>
      </c>
      <c r="S24" s="171">
        <f t="shared" si="153"/>
        <v>280648572</v>
      </c>
      <c r="T24" s="172" t="str">
        <f t="shared" si="154"/>
        <v>VÁLIDA</v>
      </c>
      <c r="U24" s="288">
        <v>76287</v>
      </c>
      <c r="V24" s="171">
        <f t="shared" si="155"/>
        <v>246864732</v>
      </c>
      <c r="W24" s="172" t="str">
        <f t="shared" si="156"/>
        <v>VÁLIDA</v>
      </c>
      <c r="X24" s="288"/>
      <c r="Y24" s="171">
        <f t="shared" si="157"/>
        <v>0</v>
      </c>
      <c r="Z24" s="172" t="str">
        <f t="shared" si="158"/>
        <v>NO VÁLIDA</v>
      </c>
      <c r="AA24" s="288">
        <v>85607</v>
      </c>
      <c r="AB24" s="171">
        <f t="shared" si="159"/>
        <v>277024252</v>
      </c>
      <c r="AC24" s="172" t="str">
        <f t="shared" si="160"/>
        <v>VÁLIDA</v>
      </c>
      <c r="AD24" s="288">
        <v>86128</v>
      </c>
      <c r="AE24" s="171">
        <f t="shared" si="161"/>
        <v>278710208</v>
      </c>
      <c r="AF24" s="172" t="str">
        <f t="shared" si="162"/>
        <v>VÁLIDA</v>
      </c>
      <c r="AG24" s="288"/>
      <c r="AH24" s="171">
        <f t="shared" si="163"/>
        <v>0</v>
      </c>
      <c r="AI24" s="172" t="str">
        <f t="shared" si="164"/>
        <v>NO VÁLIDA</v>
      </c>
      <c r="AJ24" s="288">
        <v>85581</v>
      </c>
      <c r="AK24" s="171">
        <f t="shared" si="165"/>
        <v>276940116</v>
      </c>
      <c r="AL24" s="172" t="str">
        <f t="shared" si="166"/>
        <v>VÁLIDA</v>
      </c>
      <c r="AM24" s="288"/>
      <c r="AN24" s="171">
        <f t="shared" si="167"/>
        <v>0</v>
      </c>
      <c r="AO24" s="172" t="str">
        <f t="shared" si="168"/>
        <v>NO VÁLIDA</v>
      </c>
      <c r="AP24" s="288"/>
      <c r="AQ24" s="171">
        <f t="shared" si="169"/>
        <v>0</v>
      </c>
      <c r="AR24" s="172" t="str">
        <f t="shared" si="170"/>
        <v>NO VÁLIDA</v>
      </c>
      <c r="AS24" s="288">
        <v>86735</v>
      </c>
      <c r="AT24" s="171">
        <f t="shared" si="171"/>
        <v>280674460</v>
      </c>
      <c r="AU24" s="172" t="str">
        <f t="shared" si="172"/>
        <v>VÁLIDA</v>
      </c>
      <c r="AV24" s="288">
        <v>84100</v>
      </c>
      <c r="AW24" s="171">
        <f t="shared" si="173"/>
        <v>272147600</v>
      </c>
      <c r="AX24" s="172" t="str">
        <f t="shared" si="174"/>
        <v>VÁLIDA</v>
      </c>
      <c r="AY24" s="288"/>
      <c r="AZ24" s="171">
        <f t="shared" si="175"/>
        <v>0</v>
      </c>
      <c r="BA24" s="172" t="str">
        <f t="shared" si="176"/>
        <v>NO VÁLIDA</v>
      </c>
      <c r="BB24" s="288">
        <v>86235</v>
      </c>
      <c r="BC24" s="171">
        <f t="shared" si="177"/>
        <v>279056460</v>
      </c>
      <c r="BD24" s="172" t="str">
        <f t="shared" si="178"/>
        <v>VÁLIDA</v>
      </c>
      <c r="BE24" s="288">
        <v>86200</v>
      </c>
      <c r="BF24" s="171">
        <f t="shared" si="179"/>
        <v>278943200</v>
      </c>
      <c r="BG24" s="172" t="str">
        <f t="shared" si="180"/>
        <v>VÁLIDA</v>
      </c>
      <c r="BH24" s="288">
        <v>86735</v>
      </c>
      <c r="BI24" s="171">
        <f t="shared" si="181"/>
        <v>280674460</v>
      </c>
      <c r="BJ24" s="172" t="str">
        <f t="shared" si="182"/>
        <v>VÁLIDA</v>
      </c>
      <c r="BK24" s="288"/>
      <c r="BL24" s="171">
        <f t="shared" si="183"/>
        <v>0</v>
      </c>
      <c r="BM24" s="172" t="str">
        <f t="shared" si="184"/>
        <v>NO VÁLIDA</v>
      </c>
      <c r="BN24" s="288">
        <v>86735</v>
      </c>
      <c r="BO24" s="171">
        <f t="shared" si="185"/>
        <v>280674460</v>
      </c>
      <c r="BP24" s="172" t="str">
        <f t="shared" si="186"/>
        <v>VÁLIDA</v>
      </c>
      <c r="BQ24" s="288">
        <v>86735</v>
      </c>
      <c r="BR24" s="171">
        <f t="shared" si="187"/>
        <v>280674460</v>
      </c>
      <c r="BS24" s="172" t="str">
        <f t="shared" si="188"/>
        <v>VÁLIDA</v>
      </c>
    </row>
    <row r="25" spans="1:71" ht="50.45" customHeight="1" thickBot="1" x14ac:dyDescent="0.25">
      <c r="A25" s="11"/>
      <c r="B25" s="167">
        <v>9</v>
      </c>
      <c r="C25" s="168" t="s">
        <v>130</v>
      </c>
      <c r="D25" s="169" t="s">
        <v>147</v>
      </c>
      <c r="E25" s="168" t="s">
        <v>148</v>
      </c>
      <c r="F25" s="198">
        <v>3156</v>
      </c>
      <c r="G25" s="285">
        <v>58281</v>
      </c>
      <c r="H25" s="170">
        <f t="shared" si="146"/>
        <v>183934836</v>
      </c>
      <c r="I25" s="326">
        <v>57735.28</v>
      </c>
      <c r="J25" s="171">
        <f t="shared" si="147"/>
        <v>182212544</v>
      </c>
      <c r="K25" s="172" t="str">
        <f t="shared" ref="K25" si="190">+IF(I25&gt;0,IF(OR(I25&gt;$G25,ROUND(I25,0)&gt;$G25),"NO VÁLIDA","VÁLIDA"),"NO VÁLIDA")</f>
        <v>VÁLIDA</v>
      </c>
      <c r="L25" s="288">
        <v>54000</v>
      </c>
      <c r="M25" s="171">
        <f t="shared" si="149"/>
        <v>170424000</v>
      </c>
      <c r="N25" s="172" t="str">
        <f t="shared" si="150"/>
        <v>VÁLIDA</v>
      </c>
      <c r="O25" s="288"/>
      <c r="P25" s="171">
        <f t="shared" si="151"/>
        <v>0</v>
      </c>
      <c r="Q25" s="172" t="str">
        <f t="shared" si="152"/>
        <v>NO VÁLIDA</v>
      </c>
      <c r="R25" s="288">
        <v>58276</v>
      </c>
      <c r="S25" s="171">
        <f t="shared" si="153"/>
        <v>183919056</v>
      </c>
      <c r="T25" s="172" t="str">
        <f t="shared" si="154"/>
        <v>VÁLIDA</v>
      </c>
      <c r="U25" s="288">
        <v>52416</v>
      </c>
      <c r="V25" s="171">
        <f t="shared" si="155"/>
        <v>165424896</v>
      </c>
      <c r="W25" s="172" t="str">
        <f t="shared" si="156"/>
        <v>VÁLIDA</v>
      </c>
      <c r="X25" s="288"/>
      <c r="Y25" s="171">
        <f t="shared" si="157"/>
        <v>0</v>
      </c>
      <c r="Z25" s="172" t="str">
        <f t="shared" si="158"/>
        <v>NO VÁLIDA</v>
      </c>
      <c r="AA25" s="288">
        <v>57523</v>
      </c>
      <c r="AB25" s="171">
        <f t="shared" si="159"/>
        <v>181542588</v>
      </c>
      <c r="AC25" s="172" t="str">
        <f t="shared" si="160"/>
        <v>VÁLIDA</v>
      </c>
      <c r="AD25" s="288">
        <v>57873</v>
      </c>
      <c r="AE25" s="171">
        <f t="shared" si="161"/>
        <v>182647188</v>
      </c>
      <c r="AF25" s="172" t="str">
        <f t="shared" si="162"/>
        <v>VÁLIDA</v>
      </c>
      <c r="AG25" s="288"/>
      <c r="AH25" s="171">
        <f t="shared" si="163"/>
        <v>0</v>
      </c>
      <c r="AI25" s="172" t="str">
        <f t="shared" si="164"/>
        <v>NO VÁLIDA</v>
      </c>
      <c r="AJ25" s="288">
        <v>57506</v>
      </c>
      <c r="AK25" s="171">
        <f t="shared" si="165"/>
        <v>181488936</v>
      </c>
      <c r="AL25" s="172" t="str">
        <f t="shared" si="166"/>
        <v>VÁLIDA</v>
      </c>
      <c r="AM25" s="288"/>
      <c r="AN25" s="171">
        <f t="shared" si="167"/>
        <v>0</v>
      </c>
      <c r="AO25" s="172" t="str">
        <f t="shared" si="168"/>
        <v>NO VÁLIDA</v>
      </c>
      <c r="AP25" s="288"/>
      <c r="AQ25" s="171">
        <f t="shared" si="169"/>
        <v>0</v>
      </c>
      <c r="AR25" s="172" t="str">
        <f t="shared" si="170"/>
        <v>NO VÁLIDA</v>
      </c>
      <c r="AS25" s="288">
        <v>58281</v>
      </c>
      <c r="AT25" s="171">
        <f t="shared" si="171"/>
        <v>183934836</v>
      </c>
      <c r="AU25" s="172" t="str">
        <f t="shared" si="172"/>
        <v>VÁLIDA</v>
      </c>
      <c r="AV25" s="288">
        <v>57140</v>
      </c>
      <c r="AW25" s="171">
        <f t="shared" si="173"/>
        <v>180333840</v>
      </c>
      <c r="AX25" s="172" t="str">
        <f t="shared" si="174"/>
        <v>VÁLIDA</v>
      </c>
      <c r="AY25" s="288"/>
      <c r="AZ25" s="171">
        <f t="shared" si="175"/>
        <v>0</v>
      </c>
      <c r="BA25" s="172" t="str">
        <f t="shared" si="176"/>
        <v>NO VÁLIDA</v>
      </c>
      <c r="BB25" s="288">
        <v>57489</v>
      </c>
      <c r="BC25" s="171">
        <f t="shared" si="177"/>
        <v>181435284</v>
      </c>
      <c r="BD25" s="172" t="str">
        <f t="shared" si="178"/>
        <v>VÁLIDA</v>
      </c>
      <c r="BE25" s="288">
        <v>58000</v>
      </c>
      <c r="BF25" s="171">
        <f t="shared" si="179"/>
        <v>183048000</v>
      </c>
      <c r="BG25" s="172" t="str">
        <f t="shared" si="180"/>
        <v>VÁLIDA</v>
      </c>
      <c r="BH25" s="288">
        <v>58281</v>
      </c>
      <c r="BI25" s="171">
        <f t="shared" si="181"/>
        <v>183934836</v>
      </c>
      <c r="BJ25" s="172" t="str">
        <f t="shared" si="182"/>
        <v>VÁLIDA</v>
      </c>
      <c r="BK25" s="288"/>
      <c r="BL25" s="171">
        <f t="shared" si="183"/>
        <v>0</v>
      </c>
      <c r="BM25" s="172" t="str">
        <f t="shared" si="184"/>
        <v>NO VÁLIDA</v>
      </c>
      <c r="BN25" s="288">
        <v>58281</v>
      </c>
      <c r="BO25" s="171">
        <f t="shared" si="185"/>
        <v>183934836</v>
      </c>
      <c r="BP25" s="172" t="str">
        <f t="shared" si="186"/>
        <v>VÁLIDA</v>
      </c>
      <c r="BQ25" s="288">
        <v>58281</v>
      </c>
      <c r="BR25" s="171">
        <f t="shared" si="187"/>
        <v>183934836</v>
      </c>
      <c r="BS25" s="172" t="str">
        <f t="shared" si="188"/>
        <v>VÁLIDA</v>
      </c>
    </row>
    <row r="26" spans="1:71" ht="22.5" customHeight="1" x14ac:dyDescent="0.2">
      <c r="A26" s="11"/>
      <c r="B26" s="165" t="s">
        <v>110</v>
      </c>
      <c r="C26" s="166"/>
      <c r="D26" s="166"/>
      <c r="E26" s="166"/>
      <c r="F26" s="199"/>
      <c r="G26" s="286"/>
      <c r="H26" s="194">
        <f>SUM(H27:H36)</f>
        <v>1137082012</v>
      </c>
      <c r="I26" s="327"/>
      <c r="J26" s="196">
        <f>SUM(J27:J36)</f>
        <v>1126296776</v>
      </c>
      <c r="K26" s="197"/>
      <c r="L26" s="289"/>
      <c r="M26" s="196">
        <f t="shared" ref="M26" si="191">SUM(M27:M36)</f>
        <v>1113310783</v>
      </c>
      <c r="N26" s="197"/>
      <c r="O26" s="289"/>
      <c r="P26" s="196">
        <f t="shared" ref="P26" si="192">SUM(P27:P36)</f>
        <v>0</v>
      </c>
      <c r="Q26" s="197"/>
      <c r="R26" s="289"/>
      <c r="S26" s="196">
        <f t="shared" ref="S26" si="193">SUM(S27:S36)</f>
        <v>1137007969</v>
      </c>
      <c r="T26" s="197"/>
      <c r="U26" s="289"/>
      <c r="V26" s="196">
        <f t="shared" ref="V26" si="194">SUM(V27:V36)</f>
        <v>1153320830</v>
      </c>
      <c r="W26" s="197"/>
      <c r="X26" s="289"/>
      <c r="Y26" s="196">
        <f t="shared" ref="Y26" si="195">SUM(Y27:Y36)</f>
        <v>0</v>
      </c>
      <c r="Z26" s="197"/>
      <c r="AA26" s="289"/>
      <c r="AB26" s="196">
        <f t="shared" ref="AB26" si="196">SUM(AB27:AB36)</f>
        <v>1122274970</v>
      </c>
      <c r="AC26" s="197"/>
      <c r="AD26" s="289"/>
      <c r="AE26" s="196">
        <f t="shared" ref="AE26" si="197">SUM(AE27:AE36)</f>
        <v>1129093146</v>
      </c>
      <c r="AF26" s="197"/>
      <c r="AG26" s="289"/>
      <c r="AH26" s="196">
        <f t="shared" ref="AH26" si="198">SUM(AH27:AH36)</f>
        <v>0</v>
      </c>
      <c r="AI26" s="197"/>
      <c r="AJ26" s="289"/>
      <c r="AK26" s="196">
        <f t="shared" ref="AK26" si="199">SUM(AK27:AK36)</f>
        <v>1121957413</v>
      </c>
      <c r="AL26" s="197"/>
      <c r="AM26" s="289"/>
      <c r="AN26" s="196">
        <f t="shared" ref="AN26" si="200">SUM(AN27:AN36)</f>
        <v>0</v>
      </c>
      <c r="AO26" s="197"/>
      <c r="AP26" s="289"/>
      <c r="AQ26" s="196">
        <f t="shared" ref="AQ26" si="201">SUM(AQ27:AQ36)</f>
        <v>0</v>
      </c>
      <c r="AR26" s="197"/>
      <c r="AS26" s="289"/>
      <c r="AT26" s="196">
        <f t="shared" ref="AT26" si="202">SUM(AT27:AT36)</f>
        <v>1137082012</v>
      </c>
      <c r="AU26" s="197"/>
      <c r="AV26" s="289"/>
      <c r="AW26" s="196">
        <f t="shared" ref="AW26" si="203">SUM(AW27:AW36)</f>
        <v>1137082012</v>
      </c>
      <c r="AX26" s="197"/>
      <c r="AY26" s="289"/>
      <c r="AZ26" s="196">
        <f t="shared" ref="AZ26" si="204">SUM(AZ27:AZ36)</f>
        <v>0</v>
      </c>
      <c r="BA26" s="197"/>
      <c r="BB26" s="289"/>
      <c r="BC26" s="196">
        <f t="shared" ref="BC26" si="205">SUM(BC27:BC36)</f>
        <v>1126262547</v>
      </c>
      <c r="BD26" s="197"/>
      <c r="BE26" s="289"/>
      <c r="BF26" s="196">
        <f t="shared" ref="BF26" si="206">SUM(BF27:BF36)</f>
        <v>1132761300</v>
      </c>
      <c r="BG26" s="197"/>
      <c r="BH26" s="289"/>
      <c r="BI26" s="196">
        <f t="shared" ref="BI26" si="207">SUM(BI27:BI36)</f>
        <v>1128236444</v>
      </c>
      <c r="BJ26" s="197"/>
      <c r="BK26" s="289"/>
      <c r="BL26" s="196">
        <f t="shared" ref="BL26" si="208">SUM(BL27:BL36)</f>
        <v>0</v>
      </c>
      <c r="BM26" s="197"/>
      <c r="BN26" s="289"/>
      <c r="BO26" s="196">
        <f t="shared" ref="BO26" si="209">SUM(BO27:BO36)</f>
        <v>1135768998</v>
      </c>
      <c r="BP26" s="197"/>
      <c r="BQ26" s="289"/>
      <c r="BR26" s="196">
        <f t="shared" ref="BR26" si="210">SUM(BR27:BR36)</f>
        <v>1129212906</v>
      </c>
      <c r="BS26" s="197"/>
    </row>
    <row r="27" spans="1:71" ht="40.5" customHeight="1" x14ac:dyDescent="0.2">
      <c r="A27" s="11"/>
      <c r="B27" s="167">
        <v>10</v>
      </c>
      <c r="C27" s="168" t="s">
        <v>106</v>
      </c>
      <c r="D27" s="169" t="s">
        <v>149</v>
      </c>
      <c r="E27" s="168" t="s">
        <v>150</v>
      </c>
      <c r="F27" s="198">
        <v>114</v>
      </c>
      <c r="G27" s="285">
        <v>45645</v>
      </c>
      <c r="H27" s="170">
        <f t="shared" ref="H27:H36" si="211">ROUND(G27*F27,0)</f>
        <v>5203530</v>
      </c>
      <c r="I27" s="326">
        <v>45472.91</v>
      </c>
      <c r="J27" s="171">
        <f t="shared" ref="J27:J36" si="212">ROUND($F27*I27,0)</f>
        <v>5183912</v>
      </c>
      <c r="K27" s="172" t="str">
        <f t="shared" ref="K27:K36" si="213">+IF(I27&gt;0,IF(OR(I27&gt;$G27,ROUND(I27,0)&gt;$G27),"NO VÁLIDA","VÁLIDA"),"NO VÁLIDA")</f>
        <v>VÁLIDA</v>
      </c>
      <c r="L27" s="288">
        <v>45645</v>
      </c>
      <c r="M27" s="171">
        <f t="shared" ref="M27:M36" si="214">ROUND($F27*L27,0)</f>
        <v>5203530</v>
      </c>
      <c r="N27" s="172" t="str">
        <f t="shared" ref="N27:N36" si="215">+IF(L27&gt;0,IF(OR(L27&gt;$G27,ROUND(L27,0)&gt;$G27),"NO VÁLIDA","VÁLIDA"),"NO VÁLIDA")</f>
        <v>VÁLIDA</v>
      </c>
      <c r="O27" s="288"/>
      <c r="P27" s="171">
        <f t="shared" ref="P27:P36" si="216">ROUND($F27*O27,0)</f>
        <v>0</v>
      </c>
      <c r="Q27" s="172" t="str">
        <f t="shared" ref="Q27:Q36" si="217">+IF(O27&gt;0,IF(OR(O27&gt;$G27,ROUND(O27,0)&gt;$G27),"NO VÁLIDA","VÁLIDA"),"NO VÁLIDA")</f>
        <v>NO VÁLIDA</v>
      </c>
      <c r="R27" s="288">
        <v>45633</v>
      </c>
      <c r="S27" s="171">
        <f t="shared" ref="S27:S36" si="218">ROUND($F27*R27,0)</f>
        <v>5202162</v>
      </c>
      <c r="T27" s="172" t="str">
        <f t="shared" ref="T27:T36" si="219">+IF(R27&gt;0,IF(OR(R27&gt;$G27,ROUND(R27,0)&gt;$G27),"NO VÁLIDA","VÁLIDA"),"NO VÁLIDA")</f>
        <v>VÁLIDA</v>
      </c>
      <c r="U27" s="288">
        <v>42048</v>
      </c>
      <c r="V27" s="171">
        <f t="shared" ref="V27:V36" si="220">ROUND($F27*U27,0)</f>
        <v>4793472</v>
      </c>
      <c r="W27" s="172" t="str">
        <f t="shared" ref="W27:W36" si="221">+IF(U27&gt;0,IF(OR(U27&gt;$G27,ROUND(U27,0)&gt;$G27),"NO VÁLIDA","VÁLIDA"),"NO VÁLIDA")</f>
        <v>VÁLIDA</v>
      </c>
      <c r="X27" s="288"/>
      <c r="Y27" s="171">
        <f t="shared" ref="Y27:Y36" si="222">ROUND($F27*X27,0)</f>
        <v>0</v>
      </c>
      <c r="Z27" s="172" t="str">
        <f t="shared" ref="Z27:Z36" si="223">+IF(X27&gt;0,IF(OR(X27&gt;$G27,ROUND(X27,0)&gt;$G27),"NO VÁLIDA","VÁLIDA"),"NO VÁLIDA")</f>
        <v>NO VÁLIDA</v>
      </c>
      <c r="AA27" s="288">
        <v>45052</v>
      </c>
      <c r="AB27" s="171">
        <f t="shared" ref="AB27:AB36" si="224">ROUND($F27*AA27,0)</f>
        <v>5135928</v>
      </c>
      <c r="AC27" s="172" t="str">
        <f t="shared" ref="AC27:AC36" si="225">+IF(AA27&gt;0,IF(OR(AA27&gt;$G27,ROUND(AA27,0)&gt;$G27),"NO VÁLIDA","VÁLIDA"),"NO VÁLIDA")</f>
        <v>VÁLIDA</v>
      </c>
      <c r="AD27" s="288">
        <v>45325</v>
      </c>
      <c r="AE27" s="171">
        <f t="shared" ref="AE27:AE36" si="226">ROUND($F27*AD27,0)</f>
        <v>5167050</v>
      </c>
      <c r="AF27" s="172" t="str">
        <f t="shared" ref="AF27:AF36" si="227">+IF(AD27&gt;0,IF(OR(AD27&gt;$G27,ROUND(AD27,0)&gt;$G27),"NO VÁLIDA","VÁLIDA"),"NO VÁLIDA")</f>
        <v>VÁLIDA</v>
      </c>
      <c r="AG27" s="288"/>
      <c r="AH27" s="171">
        <f t="shared" ref="AH27:AH36" si="228">ROUND($F27*AG27,0)</f>
        <v>0</v>
      </c>
      <c r="AI27" s="172" t="str">
        <f t="shared" ref="AI27:AI36" si="229">+IF(AG27&gt;0,IF(OR(AG27&gt;$G27,ROUND(AG27,0)&gt;$G27),"NO VÁLIDA","VÁLIDA"),"NO VÁLIDA")</f>
        <v>NO VÁLIDA</v>
      </c>
      <c r="AJ27" s="288">
        <v>45038</v>
      </c>
      <c r="AK27" s="171">
        <f t="shared" ref="AK27:AK36" si="230">ROUND($F27*AJ27,0)</f>
        <v>5134332</v>
      </c>
      <c r="AL27" s="172" t="str">
        <f t="shared" ref="AL27:AL36" si="231">+IF(AJ27&gt;0,IF(OR(AJ27&gt;$G27,ROUND(AJ27,0)&gt;$G27),"NO VÁLIDA","VÁLIDA"),"NO VÁLIDA")</f>
        <v>VÁLIDA</v>
      </c>
      <c r="AM27" s="288"/>
      <c r="AN27" s="171">
        <f t="shared" ref="AN27:AN36" si="232">ROUND($F27*AM27,0)</f>
        <v>0</v>
      </c>
      <c r="AO27" s="172" t="str">
        <f t="shared" ref="AO27:AO36" si="233">+IF(AM27&gt;0,IF(OR(AM27&gt;$G27,ROUND(AM27,0)&gt;$G27),"NO VÁLIDA","VÁLIDA"),"NO VÁLIDA")</f>
        <v>NO VÁLIDA</v>
      </c>
      <c r="AP27" s="288"/>
      <c r="AQ27" s="171">
        <f t="shared" ref="AQ27:AQ36" si="234">ROUND($F27*AP27,0)</f>
        <v>0</v>
      </c>
      <c r="AR27" s="172" t="str">
        <f t="shared" ref="AR27:AR36" si="235">+IF(AP27&gt;0,IF(OR(AP27&gt;$G27,ROUND(AP27,0)&gt;$G27),"NO VÁLIDA","VÁLIDA"),"NO VÁLIDA")</f>
        <v>NO VÁLIDA</v>
      </c>
      <c r="AS27" s="288">
        <v>45645</v>
      </c>
      <c r="AT27" s="171">
        <f t="shared" ref="AT27:AT36" si="236">ROUND($F27*AS27,0)</f>
        <v>5203530</v>
      </c>
      <c r="AU27" s="172" t="str">
        <f t="shared" ref="AU27:AU36" si="237">+IF(AS27&gt;0,IF(OR(AS27&gt;$G27,ROUND(AS27,0)&gt;$G27),"NO VÁLIDA","VÁLIDA"),"NO VÁLIDA")</f>
        <v>VÁLIDA</v>
      </c>
      <c r="AV27" s="288">
        <v>45645</v>
      </c>
      <c r="AW27" s="171">
        <f t="shared" ref="AW27:AW36" si="238">ROUND($F27*AV27,0)</f>
        <v>5203530</v>
      </c>
      <c r="AX27" s="172" t="str">
        <f t="shared" ref="AX27:AX36" si="239">+IF(AV27&gt;0,IF(OR(AV27&gt;$G27,ROUND(AV27,0)&gt;$G27),"NO VÁLIDA","VÁLIDA"),"NO VÁLIDA")</f>
        <v>VÁLIDA</v>
      </c>
      <c r="AY27" s="288"/>
      <c r="AZ27" s="171">
        <f t="shared" ref="AZ27:AZ36" si="240">ROUND($F27*AY27,0)</f>
        <v>0</v>
      </c>
      <c r="BA27" s="172" t="str">
        <f t="shared" ref="BA27:BA36" si="241">+IF(AY27&gt;0,IF(OR(AY27&gt;$G27,ROUND(AY27,0)&gt;$G27),"NO VÁLIDA","VÁLIDA"),"NO VÁLIDA")</f>
        <v>NO VÁLIDA</v>
      </c>
      <c r="BB27" s="288">
        <v>45566</v>
      </c>
      <c r="BC27" s="171">
        <f t="shared" ref="BC27:BC36" si="242">ROUND($F27*BB27,0)</f>
        <v>5194524</v>
      </c>
      <c r="BD27" s="172" t="str">
        <f t="shared" ref="BD27:BD36" si="243">+IF(BB27&gt;0,IF(OR(BB27&gt;$G27,ROUND(BB27,0)&gt;$G27),"NO VÁLIDA","VÁLIDA"),"NO VÁLIDA")</f>
        <v>VÁLIDA</v>
      </c>
      <c r="BE27" s="288">
        <v>45000</v>
      </c>
      <c r="BF27" s="171">
        <f t="shared" ref="BF27:BF36" si="244">ROUND($F27*BE27,0)</f>
        <v>5130000</v>
      </c>
      <c r="BG27" s="172" t="str">
        <f t="shared" ref="BG27:BG36" si="245">+IF(BE27&gt;0,IF(OR(BE27&gt;$G27,ROUND(BE27,0)&gt;$G27),"NO VÁLIDA","VÁLIDA"),"NO VÁLIDA")</f>
        <v>VÁLIDA</v>
      </c>
      <c r="BH27" s="288">
        <v>45645</v>
      </c>
      <c r="BI27" s="171">
        <f t="shared" ref="BI27:BI36" si="246">ROUND($F27*BH27,0)</f>
        <v>5203530</v>
      </c>
      <c r="BJ27" s="172" t="str">
        <f t="shared" ref="BJ27:BJ36" si="247">+IF(BH27&gt;0,IF(OR(BH27&gt;$G27,ROUND(BH27,0)&gt;$G27),"NO VÁLIDA","VÁLIDA"),"NO VÁLIDA")</f>
        <v>VÁLIDA</v>
      </c>
      <c r="BK27" s="288"/>
      <c r="BL27" s="171">
        <f t="shared" ref="BL27:BL36" si="248">ROUND($F27*BK27,0)</f>
        <v>0</v>
      </c>
      <c r="BM27" s="172" t="str">
        <f t="shared" ref="BM27:BM36" si="249">+IF(BK27&gt;0,IF(OR(BK27&gt;$G27,ROUND(BK27,0)&gt;$G27),"NO VÁLIDA","VÁLIDA"),"NO VÁLIDA")</f>
        <v>NO VÁLIDA</v>
      </c>
      <c r="BN27" s="288">
        <v>45645</v>
      </c>
      <c r="BO27" s="171">
        <f t="shared" ref="BO27:BO36" si="250">ROUND($F27*BN27,0)</f>
        <v>5203530</v>
      </c>
      <c r="BP27" s="172" t="str">
        <f t="shared" ref="BP27:BP36" si="251">+IF(BN27&gt;0,IF(OR(BN27&gt;$G27,ROUND(BN27,0)&gt;$G27),"NO VÁLIDA","VÁLIDA"),"NO VÁLIDA")</f>
        <v>VÁLIDA</v>
      </c>
      <c r="BQ27" s="288">
        <v>45645</v>
      </c>
      <c r="BR27" s="171">
        <f t="shared" ref="BR27:BR36" si="252">ROUND($F27*BQ27,0)</f>
        <v>5203530</v>
      </c>
      <c r="BS27" s="172" t="str">
        <f t="shared" ref="BS27:BS36" si="253">+IF(BQ27&gt;0,IF(OR(BQ27&gt;$G27,ROUND(BQ27,0)&gt;$G27),"NO VÁLIDA","VÁLIDA"),"NO VÁLIDA")</f>
        <v>VÁLIDA</v>
      </c>
    </row>
    <row r="28" spans="1:71" ht="40.5" customHeight="1" x14ac:dyDescent="0.2">
      <c r="A28" s="11"/>
      <c r="B28" s="167">
        <v>11</v>
      </c>
      <c r="C28" s="168" t="s">
        <v>131</v>
      </c>
      <c r="D28" s="169" t="s">
        <v>151</v>
      </c>
      <c r="E28" s="168" t="s">
        <v>150</v>
      </c>
      <c r="F28" s="198">
        <v>529</v>
      </c>
      <c r="G28" s="285">
        <v>17644</v>
      </c>
      <c r="H28" s="170">
        <f t="shared" si="211"/>
        <v>9333676</v>
      </c>
      <c r="I28" s="326">
        <v>17435.95</v>
      </c>
      <c r="J28" s="171">
        <f t="shared" si="212"/>
        <v>9223618</v>
      </c>
      <c r="K28" s="172" t="str">
        <f t="shared" si="213"/>
        <v>VÁLIDA</v>
      </c>
      <c r="L28" s="288">
        <v>17644</v>
      </c>
      <c r="M28" s="171">
        <f t="shared" si="214"/>
        <v>9333676</v>
      </c>
      <c r="N28" s="172" t="str">
        <f t="shared" si="215"/>
        <v>VÁLIDA</v>
      </c>
      <c r="O28" s="288"/>
      <c r="P28" s="171">
        <f t="shared" si="216"/>
        <v>0</v>
      </c>
      <c r="Q28" s="172" t="str">
        <f t="shared" si="217"/>
        <v>NO VÁLIDA</v>
      </c>
      <c r="R28" s="288">
        <v>17644</v>
      </c>
      <c r="S28" s="171">
        <f t="shared" si="218"/>
        <v>9333676</v>
      </c>
      <c r="T28" s="172" t="str">
        <f t="shared" si="219"/>
        <v>VÁLIDA</v>
      </c>
      <c r="U28" s="288">
        <v>21807</v>
      </c>
      <c r="V28" s="171">
        <f t="shared" si="220"/>
        <v>11535903</v>
      </c>
      <c r="W28" s="172" t="str">
        <f t="shared" si="221"/>
        <v>NO VÁLIDA</v>
      </c>
      <c r="X28" s="288"/>
      <c r="Y28" s="171">
        <f t="shared" si="222"/>
        <v>0</v>
      </c>
      <c r="Z28" s="172" t="str">
        <f t="shared" si="223"/>
        <v>NO VÁLIDA</v>
      </c>
      <c r="AA28" s="288">
        <v>17415</v>
      </c>
      <c r="AB28" s="171">
        <f t="shared" si="224"/>
        <v>9212535</v>
      </c>
      <c r="AC28" s="172" t="str">
        <f t="shared" si="225"/>
        <v>VÁLIDA</v>
      </c>
      <c r="AD28" s="288">
        <v>17520</v>
      </c>
      <c r="AE28" s="171">
        <f t="shared" si="226"/>
        <v>9268080</v>
      </c>
      <c r="AF28" s="172" t="str">
        <f t="shared" si="227"/>
        <v>VÁLIDA</v>
      </c>
      <c r="AG28" s="288"/>
      <c r="AH28" s="171">
        <f t="shared" si="228"/>
        <v>0</v>
      </c>
      <c r="AI28" s="172" t="str">
        <f t="shared" si="229"/>
        <v>NO VÁLIDA</v>
      </c>
      <c r="AJ28" s="288">
        <v>17409</v>
      </c>
      <c r="AK28" s="171">
        <f t="shared" si="230"/>
        <v>9209361</v>
      </c>
      <c r="AL28" s="172" t="str">
        <f t="shared" si="231"/>
        <v>VÁLIDA</v>
      </c>
      <c r="AM28" s="288"/>
      <c r="AN28" s="171">
        <f t="shared" si="232"/>
        <v>0</v>
      </c>
      <c r="AO28" s="172" t="str">
        <f t="shared" si="233"/>
        <v>NO VÁLIDA</v>
      </c>
      <c r="AP28" s="288"/>
      <c r="AQ28" s="171">
        <f t="shared" si="234"/>
        <v>0</v>
      </c>
      <c r="AR28" s="172" t="str">
        <f t="shared" si="235"/>
        <v>NO VÁLIDA</v>
      </c>
      <c r="AS28" s="288">
        <v>17644</v>
      </c>
      <c r="AT28" s="171">
        <f t="shared" si="236"/>
        <v>9333676</v>
      </c>
      <c r="AU28" s="172" t="str">
        <f t="shared" si="237"/>
        <v>VÁLIDA</v>
      </c>
      <c r="AV28" s="288">
        <v>17644</v>
      </c>
      <c r="AW28" s="171">
        <f t="shared" si="238"/>
        <v>9333676</v>
      </c>
      <c r="AX28" s="172" t="str">
        <f t="shared" si="239"/>
        <v>VÁLIDA</v>
      </c>
      <c r="AY28" s="288"/>
      <c r="AZ28" s="171">
        <f t="shared" si="240"/>
        <v>0</v>
      </c>
      <c r="BA28" s="172" t="str">
        <f t="shared" si="241"/>
        <v>NO VÁLIDA</v>
      </c>
      <c r="BB28" s="288">
        <v>17447</v>
      </c>
      <c r="BC28" s="171">
        <f t="shared" si="242"/>
        <v>9229463</v>
      </c>
      <c r="BD28" s="172" t="str">
        <f t="shared" si="243"/>
        <v>VÁLIDA</v>
      </c>
      <c r="BE28" s="288">
        <v>17000</v>
      </c>
      <c r="BF28" s="171">
        <f t="shared" si="244"/>
        <v>8993000</v>
      </c>
      <c r="BG28" s="172" t="str">
        <f t="shared" si="245"/>
        <v>VÁLIDA</v>
      </c>
      <c r="BH28" s="288">
        <v>17644</v>
      </c>
      <c r="BI28" s="171">
        <f t="shared" si="246"/>
        <v>9333676</v>
      </c>
      <c r="BJ28" s="172" t="str">
        <f t="shared" si="247"/>
        <v>VÁLIDA</v>
      </c>
      <c r="BK28" s="288"/>
      <c r="BL28" s="171">
        <f t="shared" si="248"/>
        <v>0</v>
      </c>
      <c r="BM28" s="172" t="str">
        <f t="shared" si="249"/>
        <v>NO VÁLIDA</v>
      </c>
      <c r="BN28" s="288">
        <v>17644</v>
      </c>
      <c r="BO28" s="171">
        <f t="shared" si="250"/>
        <v>9333676</v>
      </c>
      <c r="BP28" s="172" t="str">
        <f t="shared" si="251"/>
        <v>VÁLIDA</v>
      </c>
      <c r="BQ28" s="288">
        <v>17644</v>
      </c>
      <c r="BR28" s="171">
        <f t="shared" si="252"/>
        <v>9333676</v>
      </c>
      <c r="BS28" s="172" t="str">
        <f t="shared" si="253"/>
        <v>VÁLIDA</v>
      </c>
    </row>
    <row r="29" spans="1:71" ht="40.5" customHeight="1" x14ac:dyDescent="0.2">
      <c r="A29" s="11"/>
      <c r="B29" s="167">
        <v>12</v>
      </c>
      <c r="C29" s="168" t="s">
        <v>107</v>
      </c>
      <c r="D29" s="169" t="s">
        <v>152</v>
      </c>
      <c r="E29" s="168" t="s">
        <v>150</v>
      </c>
      <c r="F29" s="198">
        <v>176</v>
      </c>
      <c r="G29" s="285">
        <v>57280</v>
      </c>
      <c r="H29" s="170">
        <f t="shared" si="211"/>
        <v>10081280</v>
      </c>
      <c r="I29" s="326">
        <v>56697.53</v>
      </c>
      <c r="J29" s="171">
        <f t="shared" si="212"/>
        <v>9978765</v>
      </c>
      <c r="K29" s="172" t="str">
        <f t="shared" si="213"/>
        <v>VÁLIDA</v>
      </c>
      <c r="L29" s="288">
        <v>57280</v>
      </c>
      <c r="M29" s="171">
        <f t="shared" si="214"/>
        <v>10081280</v>
      </c>
      <c r="N29" s="172" t="str">
        <f t="shared" si="215"/>
        <v>VÁLIDA</v>
      </c>
      <c r="O29" s="288"/>
      <c r="P29" s="171">
        <f t="shared" si="216"/>
        <v>0</v>
      </c>
      <c r="Q29" s="172" t="str">
        <f t="shared" si="217"/>
        <v>NO VÁLIDA</v>
      </c>
      <c r="R29" s="288">
        <v>57280</v>
      </c>
      <c r="S29" s="171">
        <f t="shared" si="218"/>
        <v>10081280</v>
      </c>
      <c r="T29" s="172" t="str">
        <f t="shared" si="219"/>
        <v>VÁLIDA</v>
      </c>
      <c r="U29" s="288">
        <v>56000</v>
      </c>
      <c r="V29" s="171">
        <f t="shared" si="220"/>
        <v>9856000</v>
      </c>
      <c r="W29" s="172" t="str">
        <f t="shared" si="221"/>
        <v>VÁLIDA</v>
      </c>
      <c r="X29" s="288"/>
      <c r="Y29" s="171">
        <f t="shared" si="222"/>
        <v>0</v>
      </c>
      <c r="Z29" s="172" t="str">
        <f t="shared" si="223"/>
        <v>NO VÁLIDA</v>
      </c>
      <c r="AA29" s="288">
        <v>56535</v>
      </c>
      <c r="AB29" s="171">
        <f t="shared" si="224"/>
        <v>9950160</v>
      </c>
      <c r="AC29" s="172" t="str">
        <f t="shared" si="225"/>
        <v>VÁLIDA</v>
      </c>
      <c r="AD29" s="288">
        <v>56879</v>
      </c>
      <c r="AE29" s="171">
        <f t="shared" si="226"/>
        <v>10010704</v>
      </c>
      <c r="AF29" s="172" t="str">
        <f t="shared" si="227"/>
        <v>VÁLIDA</v>
      </c>
      <c r="AG29" s="288"/>
      <c r="AH29" s="171">
        <f t="shared" si="228"/>
        <v>0</v>
      </c>
      <c r="AI29" s="172" t="str">
        <f t="shared" si="229"/>
        <v>NO VÁLIDA</v>
      </c>
      <c r="AJ29" s="288">
        <v>56518</v>
      </c>
      <c r="AK29" s="171">
        <f t="shared" si="230"/>
        <v>9947168</v>
      </c>
      <c r="AL29" s="172" t="str">
        <f t="shared" si="231"/>
        <v>VÁLIDA</v>
      </c>
      <c r="AM29" s="288"/>
      <c r="AN29" s="171">
        <f t="shared" si="232"/>
        <v>0</v>
      </c>
      <c r="AO29" s="172" t="str">
        <f t="shared" si="233"/>
        <v>NO VÁLIDA</v>
      </c>
      <c r="AP29" s="288"/>
      <c r="AQ29" s="171">
        <f t="shared" si="234"/>
        <v>0</v>
      </c>
      <c r="AR29" s="172" t="str">
        <f t="shared" si="235"/>
        <v>NO VÁLIDA</v>
      </c>
      <c r="AS29" s="288">
        <v>57280</v>
      </c>
      <c r="AT29" s="171">
        <f t="shared" si="236"/>
        <v>10081280</v>
      </c>
      <c r="AU29" s="172" t="str">
        <f t="shared" si="237"/>
        <v>VÁLIDA</v>
      </c>
      <c r="AV29" s="288">
        <v>57280</v>
      </c>
      <c r="AW29" s="171">
        <f t="shared" si="238"/>
        <v>10081280</v>
      </c>
      <c r="AX29" s="172" t="str">
        <f t="shared" si="239"/>
        <v>VÁLIDA</v>
      </c>
      <c r="AY29" s="288"/>
      <c r="AZ29" s="171">
        <f t="shared" si="240"/>
        <v>0</v>
      </c>
      <c r="BA29" s="172" t="str">
        <f t="shared" si="241"/>
        <v>NO VÁLIDA</v>
      </c>
      <c r="BB29" s="288">
        <v>57278</v>
      </c>
      <c r="BC29" s="171">
        <f t="shared" si="242"/>
        <v>10080928</v>
      </c>
      <c r="BD29" s="172" t="str">
        <f t="shared" si="243"/>
        <v>VÁLIDA</v>
      </c>
      <c r="BE29" s="288">
        <v>57000</v>
      </c>
      <c r="BF29" s="171">
        <f t="shared" si="244"/>
        <v>10032000</v>
      </c>
      <c r="BG29" s="172" t="str">
        <f t="shared" si="245"/>
        <v>VÁLIDA</v>
      </c>
      <c r="BH29" s="288">
        <v>57280</v>
      </c>
      <c r="BI29" s="171">
        <f t="shared" si="246"/>
        <v>10081280</v>
      </c>
      <c r="BJ29" s="172" t="str">
        <f t="shared" si="247"/>
        <v>VÁLIDA</v>
      </c>
      <c r="BK29" s="288"/>
      <c r="BL29" s="171">
        <f t="shared" si="248"/>
        <v>0</v>
      </c>
      <c r="BM29" s="172" t="str">
        <f t="shared" si="249"/>
        <v>NO VÁLIDA</v>
      </c>
      <c r="BN29" s="288">
        <v>57280</v>
      </c>
      <c r="BO29" s="171">
        <f t="shared" si="250"/>
        <v>10081280</v>
      </c>
      <c r="BP29" s="172" t="str">
        <f t="shared" si="251"/>
        <v>VÁLIDA</v>
      </c>
      <c r="BQ29" s="288">
        <v>57280</v>
      </c>
      <c r="BR29" s="171">
        <f t="shared" si="252"/>
        <v>10081280</v>
      </c>
      <c r="BS29" s="172" t="str">
        <f t="shared" si="253"/>
        <v>VÁLIDA</v>
      </c>
    </row>
    <row r="30" spans="1:71" ht="50.45" customHeight="1" x14ac:dyDescent="0.2">
      <c r="A30" s="11"/>
      <c r="B30" s="167">
        <v>13</v>
      </c>
      <c r="C30" s="168" t="s">
        <v>132</v>
      </c>
      <c r="D30" s="169" t="s">
        <v>153</v>
      </c>
      <c r="E30" s="168" t="s">
        <v>148</v>
      </c>
      <c r="F30" s="198">
        <v>4094</v>
      </c>
      <c r="G30" s="285">
        <v>66173</v>
      </c>
      <c r="H30" s="170">
        <f t="shared" si="211"/>
        <v>270912262</v>
      </c>
      <c r="I30" s="326">
        <v>65418.55</v>
      </c>
      <c r="J30" s="171">
        <f t="shared" si="212"/>
        <v>267823544</v>
      </c>
      <c r="K30" s="172" t="str">
        <f t="shared" si="213"/>
        <v>VÁLIDA</v>
      </c>
      <c r="L30" s="288">
        <v>62800</v>
      </c>
      <c r="M30" s="171">
        <f t="shared" si="214"/>
        <v>257103200</v>
      </c>
      <c r="N30" s="172" t="str">
        <f t="shared" si="215"/>
        <v>VÁLIDA</v>
      </c>
      <c r="O30" s="288"/>
      <c r="P30" s="171">
        <f t="shared" si="216"/>
        <v>0</v>
      </c>
      <c r="Q30" s="172" t="str">
        <f t="shared" si="217"/>
        <v>NO VÁLIDA</v>
      </c>
      <c r="R30" s="288">
        <v>66173</v>
      </c>
      <c r="S30" s="171">
        <f t="shared" si="218"/>
        <v>270912262</v>
      </c>
      <c r="T30" s="172" t="str">
        <f t="shared" si="219"/>
        <v>VÁLIDA</v>
      </c>
      <c r="U30" s="288">
        <v>46370</v>
      </c>
      <c r="V30" s="171">
        <f t="shared" si="220"/>
        <v>189838780</v>
      </c>
      <c r="W30" s="172" t="str">
        <f t="shared" si="221"/>
        <v>VÁLIDA</v>
      </c>
      <c r="X30" s="288"/>
      <c r="Y30" s="171">
        <f t="shared" si="222"/>
        <v>0</v>
      </c>
      <c r="Z30" s="172" t="str">
        <f t="shared" si="223"/>
        <v>NO VÁLIDA</v>
      </c>
      <c r="AA30" s="288">
        <v>65313</v>
      </c>
      <c r="AB30" s="171">
        <f t="shared" si="224"/>
        <v>267391422</v>
      </c>
      <c r="AC30" s="172" t="str">
        <f t="shared" si="225"/>
        <v>VÁLIDA</v>
      </c>
      <c r="AD30" s="288">
        <v>65709</v>
      </c>
      <c r="AE30" s="171">
        <f t="shared" si="226"/>
        <v>269012646</v>
      </c>
      <c r="AF30" s="172" t="str">
        <f t="shared" si="227"/>
        <v>VÁLIDA</v>
      </c>
      <c r="AG30" s="288"/>
      <c r="AH30" s="171">
        <f t="shared" si="228"/>
        <v>0</v>
      </c>
      <c r="AI30" s="172" t="str">
        <f t="shared" si="229"/>
        <v>NO VÁLIDA</v>
      </c>
      <c r="AJ30" s="288">
        <v>65293</v>
      </c>
      <c r="AK30" s="171">
        <f t="shared" si="230"/>
        <v>267309542</v>
      </c>
      <c r="AL30" s="172" t="str">
        <f t="shared" si="231"/>
        <v>VÁLIDA</v>
      </c>
      <c r="AM30" s="288"/>
      <c r="AN30" s="171">
        <f t="shared" si="232"/>
        <v>0</v>
      </c>
      <c r="AO30" s="172" t="str">
        <f t="shared" si="233"/>
        <v>NO VÁLIDA</v>
      </c>
      <c r="AP30" s="288"/>
      <c r="AQ30" s="171">
        <f t="shared" si="234"/>
        <v>0</v>
      </c>
      <c r="AR30" s="172" t="str">
        <f t="shared" si="235"/>
        <v>NO VÁLIDA</v>
      </c>
      <c r="AS30" s="288">
        <v>66173</v>
      </c>
      <c r="AT30" s="171">
        <f t="shared" si="236"/>
        <v>270912262</v>
      </c>
      <c r="AU30" s="172" t="str">
        <f t="shared" si="237"/>
        <v>VÁLIDA</v>
      </c>
      <c r="AV30" s="288">
        <v>66173</v>
      </c>
      <c r="AW30" s="171">
        <f t="shared" si="238"/>
        <v>270912262</v>
      </c>
      <c r="AX30" s="172" t="str">
        <f t="shared" si="239"/>
        <v>VÁLIDA</v>
      </c>
      <c r="AY30" s="288"/>
      <c r="AZ30" s="171">
        <f t="shared" si="240"/>
        <v>0</v>
      </c>
      <c r="BA30" s="172" t="str">
        <f t="shared" si="241"/>
        <v>NO VÁLIDA</v>
      </c>
      <c r="BB30" s="288">
        <v>64847</v>
      </c>
      <c r="BC30" s="171">
        <f t="shared" si="242"/>
        <v>265483618</v>
      </c>
      <c r="BD30" s="172" t="str">
        <f t="shared" si="243"/>
        <v>VÁLIDA</v>
      </c>
      <c r="BE30" s="288">
        <v>66000</v>
      </c>
      <c r="BF30" s="171">
        <f t="shared" si="244"/>
        <v>270204000</v>
      </c>
      <c r="BG30" s="172" t="str">
        <f t="shared" si="245"/>
        <v>VÁLIDA</v>
      </c>
      <c r="BH30" s="288">
        <v>66173</v>
      </c>
      <c r="BI30" s="171">
        <f t="shared" si="246"/>
        <v>270912262</v>
      </c>
      <c r="BJ30" s="172" t="str">
        <f t="shared" si="247"/>
        <v>VÁLIDA</v>
      </c>
      <c r="BK30" s="288"/>
      <c r="BL30" s="171">
        <f t="shared" si="248"/>
        <v>0</v>
      </c>
      <c r="BM30" s="172" t="str">
        <f t="shared" si="249"/>
        <v>NO VÁLIDA</v>
      </c>
      <c r="BN30" s="288">
        <v>66173</v>
      </c>
      <c r="BO30" s="171">
        <f t="shared" si="250"/>
        <v>270912262</v>
      </c>
      <c r="BP30" s="172" t="str">
        <f t="shared" si="251"/>
        <v>VÁLIDA</v>
      </c>
      <c r="BQ30" s="288">
        <v>65500</v>
      </c>
      <c r="BR30" s="171">
        <f t="shared" si="252"/>
        <v>268157000</v>
      </c>
      <c r="BS30" s="172" t="str">
        <f t="shared" si="253"/>
        <v>VÁLIDA</v>
      </c>
    </row>
    <row r="31" spans="1:71" ht="50.45" customHeight="1" x14ac:dyDescent="0.2">
      <c r="A31" s="11"/>
      <c r="B31" s="167">
        <v>14</v>
      </c>
      <c r="C31" s="168" t="s">
        <v>133</v>
      </c>
      <c r="D31" s="169" t="s">
        <v>154</v>
      </c>
      <c r="E31" s="168" t="s">
        <v>141</v>
      </c>
      <c r="F31" s="198">
        <v>338</v>
      </c>
      <c r="G31" s="285">
        <v>580107</v>
      </c>
      <c r="H31" s="170">
        <f t="shared" si="211"/>
        <v>196076166</v>
      </c>
      <c r="I31" s="326">
        <v>574238.22</v>
      </c>
      <c r="J31" s="171">
        <f t="shared" si="212"/>
        <v>194092518</v>
      </c>
      <c r="K31" s="172" t="str">
        <f t="shared" si="213"/>
        <v>VÁLIDA</v>
      </c>
      <c r="L31" s="288">
        <v>560000</v>
      </c>
      <c r="M31" s="171">
        <f t="shared" si="214"/>
        <v>189280000</v>
      </c>
      <c r="N31" s="172" t="str">
        <f t="shared" si="215"/>
        <v>VÁLIDA</v>
      </c>
      <c r="O31" s="288"/>
      <c r="P31" s="171">
        <f t="shared" si="216"/>
        <v>0</v>
      </c>
      <c r="Q31" s="172" t="str">
        <f t="shared" si="217"/>
        <v>NO VÁLIDA</v>
      </c>
      <c r="R31" s="288">
        <v>580107</v>
      </c>
      <c r="S31" s="171">
        <f t="shared" si="218"/>
        <v>196076166</v>
      </c>
      <c r="T31" s="172" t="str">
        <f t="shared" si="219"/>
        <v>VÁLIDA</v>
      </c>
      <c r="U31" s="288">
        <v>590466</v>
      </c>
      <c r="V31" s="171">
        <f t="shared" si="220"/>
        <v>199577508</v>
      </c>
      <c r="W31" s="172" t="str">
        <f t="shared" si="221"/>
        <v>NO VÁLIDA</v>
      </c>
      <c r="X31" s="288"/>
      <c r="Y31" s="171">
        <f t="shared" si="222"/>
        <v>0</v>
      </c>
      <c r="Z31" s="172" t="str">
        <f t="shared" si="223"/>
        <v>NO VÁLIDA</v>
      </c>
      <c r="AA31" s="288">
        <v>572566</v>
      </c>
      <c r="AB31" s="171">
        <f t="shared" si="224"/>
        <v>193527308</v>
      </c>
      <c r="AC31" s="172" t="str">
        <f t="shared" si="225"/>
        <v>VÁLIDA</v>
      </c>
      <c r="AD31" s="288">
        <v>576046</v>
      </c>
      <c r="AE31" s="171">
        <f t="shared" si="226"/>
        <v>194703548</v>
      </c>
      <c r="AF31" s="172" t="str">
        <f t="shared" si="227"/>
        <v>VÁLIDA</v>
      </c>
      <c r="AG31" s="288"/>
      <c r="AH31" s="171">
        <f t="shared" si="228"/>
        <v>0</v>
      </c>
      <c r="AI31" s="172" t="str">
        <f t="shared" si="229"/>
        <v>NO VÁLIDA</v>
      </c>
      <c r="AJ31" s="288">
        <v>572392</v>
      </c>
      <c r="AK31" s="171">
        <f t="shared" si="230"/>
        <v>193468496</v>
      </c>
      <c r="AL31" s="172" t="str">
        <f t="shared" si="231"/>
        <v>VÁLIDA</v>
      </c>
      <c r="AM31" s="288"/>
      <c r="AN31" s="171">
        <f t="shared" si="232"/>
        <v>0</v>
      </c>
      <c r="AO31" s="172" t="str">
        <f t="shared" si="233"/>
        <v>NO VÁLIDA</v>
      </c>
      <c r="AP31" s="288"/>
      <c r="AQ31" s="171">
        <f t="shared" si="234"/>
        <v>0</v>
      </c>
      <c r="AR31" s="172" t="str">
        <f t="shared" si="235"/>
        <v>NO VÁLIDA</v>
      </c>
      <c r="AS31" s="288">
        <v>580107</v>
      </c>
      <c r="AT31" s="171">
        <f t="shared" si="236"/>
        <v>196076166</v>
      </c>
      <c r="AU31" s="172" t="str">
        <f t="shared" si="237"/>
        <v>VÁLIDA</v>
      </c>
      <c r="AV31" s="288">
        <v>580107</v>
      </c>
      <c r="AW31" s="171">
        <f t="shared" si="238"/>
        <v>196076166</v>
      </c>
      <c r="AX31" s="172" t="str">
        <f t="shared" si="239"/>
        <v>VÁLIDA</v>
      </c>
      <c r="AY31" s="288"/>
      <c r="AZ31" s="171">
        <f t="shared" si="240"/>
        <v>0</v>
      </c>
      <c r="BA31" s="172" t="str">
        <f t="shared" si="241"/>
        <v>NO VÁLIDA</v>
      </c>
      <c r="BB31" s="288">
        <v>576591</v>
      </c>
      <c r="BC31" s="171">
        <f t="shared" si="242"/>
        <v>194887758</v>
      </c>
      <c r="BD31" s="172" t="str">
        <f t="shared" si="243"/>
        <v>VÁLIDA</v>
      </c>
      <c r="BE31" s="288">
        <v>580000</v>
      </c>
      <c r="BF31" s="171">
        <f t="shared" si="244"/>
        <v>196040000</v>
      </c>
      <c r="BG31" s="172" t="str">
        <f t="shared" si="245"/>
        <v>VÁLIDA</v>
      </c>
      <c r="BH31" s="288">
        <v>580107</v>
      </c>
      <c r="BI31" s="171">
        <f t="shared" si="246"/>
        <v>196076166</v>
      </c>
      <c r="BJ31" s="172" t="str">
        <f t="shared" si="247"/>
        <v>VÁLIDA</v>
      </c>
      <c r="BK31" s="288"/>
      <c r="BL31" s="171">
        <f t="shared" si="248"/>
        <v>0</v>
      </c>
      <c r="BM31" s="172" t="str">
        <f t="shared" si="249"/>
        <v>NO VÁLIDA</v>
      </c>
      <c r="BN31" s="288">
        <v>580107</v>
      </c>
      <c r="BO31" s="171">
        <f t="shared" si="250"/>
        <v>196076166</v>
      </c>
      <c r="BP31" s="172" t="str">
        <f t="shared" si="251"/>
        <v>VÁLIDA</v>
      </c>
      <c r="BQ31" s="288">
        <v>580107</v>
      </c>
      <c r="BR31" s="171">
        <f t="shared" si="252"/>
        <v>196076166</v>
      </c>
      <c r="BS31" s="172" t="str">
        <f t="shared" si="253"/>
        <v>VÁLIDA</v>
      </c>
    </row>
    <row r="32" spans="1:71" ht="30.6" customHeight="1" x14ac:dyDescent="0.2">
      <c r="A32" s="11"/>
      <c r="B32" s="167">
        <v>15</v>
      </c>
      <c r="C32" s="168" t="s">
        <v>98</v>
      </c>
      <c r="D32" s="169" t="s">
        <v>155</v>
      </c>
      <c r="E32" s="168" t="s">
        <v>156</v>
      </c>
      <c r="F32" s="198">
        <v>69106</v>
      </c>
      <c r="G32" s="285">
        <v>4974.0000003972373</v>
      </c>
      <c r="H32" s="170">
        <f t="shared" si="211"/>
        <v>343733244</v>
      </c>
      <c r="I32" s="326">
        <v>4931.1000000000004</v>
      </c>
      <c r="J32" s="171">
        <f t="shared" si="212"/>
        <v>340768597</v>
      </c>
      <c r="K32" s="172" t="str">
        <f t="shared" si="213"/>
        <v>VÁLIDA</v>
      </c>
      <c r="L32" s="288">
        <v>4974</v>
      </c>
      <c r="M32" s="171">
        <f t="shared" si="214"/>
        <v>343733244</v>
      </c>
      <c r="N32" s="172" t="str">
        <f t="shared" si="215"/>
        <v>VÁLIDA</v>
      </c>
      <c r="O32" s="288"/>
      <c r="P32" s="171">
        <f t="shared" si="216"/>
        <v>0</v>
      </c>
      <c r="Q32" s="172" t="str">
        <f t="shared" si="217"/>
        <v>NO VÁLIDA</v>
      </c>
      <c r="R32" s="288">
        <v>4973</v>
      </c>
      <c r="S32" s="171">
        <f t="shared" si="218"/>
        <v>343664138</v>
      </c>
      <c r="T32" s="172" t="str">
        <f t="shared" si="219"/>
        <v>VÁLIDA</v>
      </c>
      <c r="U32" s="288">
        <v>4655</v>
      </c>
      <c r="V32" s="171">
        <f t="shared" si="220"/>
        <v>321688430</v>
      </c>
      <c r="W32" s="172" t="str">
        <f t="shared" si="221"/>
        <v>VÁLIDA</v>
      </c>
      <c r="X32" s="288"/>
      <c r="Y32" s="171">
        <f t="shared" si="222"/>
        <v>0</v>
      </c>
      <c r="Z32" s="172" t="str">
        <f t="shared" si="223"/>
        <v>NO VÁLIDA</v>
      </c>
      <c r="AA32" s="288">
        <v>4909</v>
      </c>
      <c r="AB32" s="171">
        <f t="shared" si="224"/>
        <v>339241354</v>
      </c>
      <c r="AC32" s="172" t="str">
        <f t="shared" si="225"/>
        <v>VÁLIDA</v>
      </c>
      <c r="AD32" s="288">
        <v>4939</v>
      </c>
      <c r="AE32" s="171">
        <f t="shared" si="226"/>
        <v>341314534</v>
      </c>
      <c r="AF32" s="172" t="str">
        <f t="shared" si="227"/>
        <v>VÁLIDA</v>
      </c>
      <c r="AG32" s="288"/>
      <c r="AH32" s="171">
        <f t="shared" si="228"/>
        <v>0</v>
      </c>
      <c r="AI32" s="172" t="str">
        <f t="shared" si="229"/>
        <v>NO VÁLIDA</v>
      </c>
      <c r="AJ32" s="288">
        <v>4908</v>
      </c>
      <c r="AK32" s="171">
        <f t="shared" si="230"/>
        <v>339172248</v>
      </c>
      <c r="AL32" s="172" t="str">
        <f t="shared" si="231"/>
        <v>VÁLIDA</v>
      </c>
      <c r="AM32" s="288"/>
      <c r="AN32" s="171">
        <f t="shared" si="232"/>
        <v>0</v>
      </c>
      <c r="AO32" s="172" t="str">
        <f t="shared" si="233"/>
        <v>NO VÁLIDA</v>
      </c>
      <c r="AP32" s="288"/>
      <c r="AQ32" s="171">
        <f t="shared" si="234"/>
        <v>0</v>
      </c>
      <c r="AR32" s="172" t="str">
        <f t="shared" si="235"/>
        <v>NO VÁLIDA</v>
      </c>
      <c r="AS32" s="288">
        <v>4974</v>
      </c>
      <c r="AT32" s="171">
        <f t="shared" si="236"/>
        <v>343733244</v>
      </c>
      <c r="AU32" s="172" t="str">
        <f t="shared" si="237"/>
        <v>VÁLIDA</v>
      </c>
      <c r="AV32" s="288">
        <v>4974</v>
      </c>
      <c r="AW32" s="171">
        <f t="shared" si="238"/>
        <v>343733244</v>
      </c>
      <c r="AX32" s="172" t="str">
        <f t="shared" si="239"/>
        <v>VÁLIDA</v>
      </c>
      <c r="AY32" s="288"/>
      <c r="AZ32" s="171">
        <f t="shared" si="240"/>
        <v>0</v>
      </c>
      <c r="BA32" s="172" t="str">
        <f t="shared" si="241"/>
        <v>NO VÁLIDA</v>
      </c>
      <c r="BB32" s="288">
        <v>4960</v>
      </c>
      <c r="BC32" s="171">
        <f t="shared" si="242"/>
        <v>342765760</v>
      </c>
      <c r="BD32" s="172" t="str">
        <f t="shared" si="243"/>
        <v>VÁLIDA</v>
      </c>
      <c r="BE32" s="288">
        <v>4950</v>
      </c>
      <c r="BF32" s="171">
        <f t="shared" si="244"/>
        <v>342074700</v>
      </c>
      <c r="BG32" s="172" t="str">
        <f t="shared" si="245"/>
        <v>VÁLIDA</v>
      </c>
      <c r="BH32" s="288">
        <v>4846</v>
      </c>
      <c r="BI32" s="171">
        <f t="shared" si="246"/>
        <v>334887676</v>
      </c>
      <c r="BJ32" s="172" t="str">
        <f t="shared" si="247"/>
        <v>VÁLIDA</v>
      </c>
      <c r="BK32" s="288"/>
      <c r="BL32" s="171">
        <f t="shared" si="248"/>
        <v>0</v>
      </c>
      <c r="BM32" s="172" t="str">
        <f t="shared" si="249"/>
        <v>NO VÁLIDA</v>
      </c>
      <c r="BN32" s="288">
        <v>4955</v>
      </c>
      <c r="BO32" s="171">
        <f t="shared" si="250"/>
        <v>342420230</v>
      </c>
      <c r="BP32" s="172" t="str">
        <f t="shared" si="251"/>
        <v>VÁLIDA</v>
      </c>
      <c r="BQ32" s="288">
        <v>4900</v>
      </c>
      <c r="BR32" s="171">
        <f t="shared" si="252"/>
        <v>338619400</v>
      </c>
      <c r="BS32" s="172" t="str">
        <f t="shared" si="253"/>
        <v>VÁLIDA</v>
      </c>
    </row>
    <row r="33" spans="1:72" ht="40.5" customHeight="1" x14ac:dyDescent="0.2">
      <c r="A33" s="11"/>
      <c r="B33" s="167">
        <v>16</v>
      </c>
      <c r="C33" s="168" t="s">
        <v>134</v>
      </c>
      <c r="D33" s="169" t="s">
        <v>157</v>
      </c>
      <c r="E33" s="168" t="s">
        <v>148</v>
      </c>
      <c r="F33" s="198">
        <v>13283</v>
      </c>
      <c r="G33" s="285">
        <v>2221</v>
      </c>
      <c r="H33" s="170">
        <f t="shared" si="211"/>
        <v>29501543</v>
      </c>
      <c r="I33" s="326">
        <v>2213.42</v>
      </c>
      <c r="J33" s="171">
        <f t="shared" si="212"/>
        <v>29400858</v>
      </c>
      <c r="K33" s="172" t="str">
        <f t="shared" si="213"/>
        <v>VÁLIDA</v>
      </c>
      <c r="L33" s="288">
        <v>2221</v>
      </c>
      <c r="M33" s="171">
        <f t="shared" si="214"/>
        <v>29501543</v>
      </c>
      <c r="N33" s="172" t="str">
        <f t="shared" si="215"/>
        <v>VÁLIDA</v>
      </c>
      <c r="O33" s="288"/>
      <c r="P33" s="171">
        <f t="shared" si="216"/>
        <v>0</v>
      </c>
      <c r="Q33" s="172" t="str">
        <f t="shared" si="217"/>
        <v>NO VÁLIDA</v>
      </c>
      <c r="R33" s="288">
        <v>2221</v>
      </c>
      <c r="S33" s="171">
        <f t="shared" si="218"/>
        <v>29501543</v>
      </c>
      <c r="T33" s="172" t="str">
        <f t="shared" si="219"/>
        <v>VÁLIDA</v>
      </c>
      <c r="U33" s="288">
        <v>2176</v>
      </c>
      <c r="V33" s="171">
        <f t="shared" si="220"/>
        <v>28903808</v>
      </c>
      <c r="W33" s="172" t="str">
        <f t="shared" si="221"/>
        <v>VÁLIDA</v>
      </c>
      <c r="X33" s="288"/>
      <c r="Y33" s="171">
        <f t="shared" si="222"/>
        <v>0</v>
      </c>
      <c r="Z33" s="172" t="str">
        <f t="shared" si="223"/>
        <v>NO VÁLIDA</v>
      </c>
      <c r="AA33" s="288">
        <v>2192</v>
      </c>
      <c r="AB33" s="171">
        <f t="shared" si="224"/>
        <v>29116336</v>
      </c>
      <c r="AC33" s="172" t="str">
        <f t="shared" si="225"/>
        <v>VÁLIDA</v>
      </c>
      <c r="AD33" s="288">
        <v>2205</v>
      </c>
      <c r="AE33" s="171">
        <f t="shared" si="226"/>
        <v>29289015</v>
      </c>
      <c r="AF33" s="172" t="str">
        <f t="shared" si="227"/>
        <v>VÁLIDA</v>
      </c>
      <c r="AG33" s="288"/>
      <c r="AH33" s="171">
        <f t="shared" si="228"/>
        <v>0</v>
      </c>
      <c r="AI33" s="172" t="str">
        <f t="shared" si="229"/>
        <v>NO VÁLIDA</v>
      </c>
      <c r="AJ33" s="288">
        <v>2191</v>
      </c>
      <c r="AK33" s="171">
        <f t="shared" si="230"/>
        <v>29103053</v>
      </c>
      <c r="AL33" s="172" t="str">
        <f t="shared" si="231"/>
        <v>VÁLIDA</v>
      </c>
      <c r="AM33" s="288"/>
      <c r="AN33" s="171">
        <f t="shared" si="232"/>
        <v>0</v>
      </c>
      <c r="AO33" s="172" t="str">
        <f t="shared" si="233"/>
        <v>NO VÁLIDA</v>
      </c>
      <c r="AP33" s="288"/>
      <c r="AQ33" s="171">
        <f t="shared" si="234"/>
        <v>0</v>
      </c>
      <c r="AR33" s="172" t="str">
        <f t="shared" si="235"/>
        <v>NO VÁLIDA</v>
      </c>
      <c r="AS33" s="288">
        <v>2221</v>
      </c>
      <c r="AT33" s="171">
        <f t="shared" si="236"/>
        <v>29501543</v>
      </c>
      <c r="AU33" s="172" t="str">
        <f t="shared" si="237"/>
        <v>VÁLIDA</v>
      </c>
      <c r="AV33" s="288">
        <v>2221</v>
      </c>
      <c r="AW33" s="171">
        <f t="shared" si="238"/>
        <v>29501543</v>
      </c>
      <c r="AX33" s="172" t="str">
        <f t="shared" si="239"/>
        <v>VÁLIDA</v>
      </c>
      <c r="AY33" s="288"/>
      <c r="AZ33" s="171">
        <f t="shared" si="240"/>
        <v>0</v>
      </c>
      <c r="BA33" s="172" t="str">
        <f t="shared" si="241"/>
        <v>NO VÁLIDA</v>
      </c>
      <c r="BB33" s="288">
        <v>2149</v>
      </c>
      <c r="BC33" s="171">
        <f t="shared" si="242"/>
        <v>28545167</v>
      </c>
      <c r="BD33" s="172" t="str">
        <f t="shared" si="243"/>
        <v>VÁLIDA</v>
      </c>
      <c r="BE33" s="288">
        <v>2200</v>
      </c>
      <c r="BF33" s="171">
        <f t="shared" si="244"/>
        <v>29222600</v>
      </c>
      <c r="BG33" s="172" t="str">
        <f t="shared" si="245"/>
        <v>VÁLIDA</v>
      </c>
      <c r="BH33" s="288">
        <v>2221</v>
      </c>
      <c r="BI33" s="171">
        <f t="shared" si="246"/>
        <v>29501543</v>
      </c>
      <c r="BJ33" s="172" t="str">
        <f t="shared" si="247"/>
        <v>VÁLIDA</v>
      </c>
      <c r="BK33" s="288"/>
      <c r="BL33" s="171">
        <f t="shared" si="248"/>
        <v>0</v>
      </c>
      <c r="BM33" s="172" t="str">
        <f t="shared" si="249"/>
        <v>NO VÁLIDA</v>
      </c>
      <c r="BN33" s="288">
        <v>2221</v>
      </c>
      <c r="BO33" s="171">
        <f t="shared" si="250"/>
        <v>29501543</v>
      </c>
      <c r="BP33" s="172" t="str">
        <f t="shared" si="251"/>
        <v>VÁLIDA</v>
      </c>
      <c r="BQ33" s="288">
        <v>2221</v>
      </c>
      <c r="BR33" s="171">
        <f t="shared" si="252"/>
        <v>29501543</v>
      </c>
      <c r="BS33" s="172" t="str">
        <f t="shared" si="253"/>
        <v>VÁLIDA</v>
      </c>
    </row>
    <row r="34" spans="1:72" ht="30.6" customHeight="1" x14ac:dyDescent="0.2">
      <c r="A34" s="11"/>
      <c r="B34" s="167">
        <v>17</v>
      </c>
      <c r="C34" s="168" t="s">
        <v>135</v>
      </c>
      <c r="D34" s="169" t="s">
        <v>158</v>
      </c>
      <c r="E34" s="168" t="s">
        <v>148</v>
      </c>
      <c r="F34" s="198">
        <v>13283</v>
      </c>
      <c r="G34" s="285">
        <v>2070</v>
      </c>
      <c r="H34" s="170">
        <f t="shared" si="211"/>
        <v>27495810</v>
      </c>
      <c r="I34" s="326">
        <v>2047.26</v>
      </c>
      <c r="J34" s="171">
        <f t="shared" si="212"/>
        <v>27193755</v>
      </c>
      <c r="K34" s="172" t="str">
        <f t="shared" si="213"/>
        <v>VÁLIDA</v>
      </c>
      <c r="L34" s="288">
        <v>2070</v>
      </c>
      <c r="M34" s="171">
        <f t="shared" si="214"/>
        <v>27495810</v>
      </c>
      <c r="N34" s="172" t="str">
        <f t="shared" si="215"/>
        <v>VÁLIDA</v>
      </c>
      <c r="O34" s="288"/>
      <c r="P34" s="171">
        <f t="shared" si="216"/>
        <v>0</v>
      </c>
      <c r="Q34" s="172" t="str">
        <f t="shared" si="217"/>
        <v>NO VÁLIDA</v>
      </c>
      <c r="R34" s="288">
        <v>2070</v>
      </c>
      <c r="S34" s="171">
        <f t="shared" si="218"/>
        <v>27495810</v>
      </c>
      <c r="T34" s="172" t="str">
        <f t="shared" si="219"/>
        <v>VÁLIDA</v>
      </c>
      <c r="U34" s="288">
        <v>11082</v>
      </c>
      <c r="V34" s="171">
        <f t="shared" si="220"/>
        <v>147202206</v>
      </c>
      <c r="W34" s="172" t="str">
        <f t="shared" si="221"/>
        <v>NO VÁLIDA</v>
      </c>
      <c r="X34" s="288"/>
      <c r="Y34" s="171">
        <f t="shared" si="222"/>
        <v>0</v>
      </c>
      <c r="Z34" s="172" t="str">
        <f t="shared" si="223"/>
        <v>NO VÁLIDA</v>
      </c>
      <c r="AA34" s="288">
        <v>2043</v>
      </c>
      <c r="AB34" s="171">
        <f t="shared" si="224"/>
        <v>27137169</v>
      </c>
      <c r="AC34" s="172" t="str">
        <f t="shared" si="225"/>
        <v>VÁLIDA</v>
      </c>
      <c r="AD34" s="288">
        <v>2055</v>
      </c>
      <c r="AE34" s="171">
        <f t="shared" si="226"/>
        <v>27296565</v>
      </c>
      <c r="AF34" s="172" t="str">
        <f t="shared" si="227"/>
        <v>VÁLIDA</v>
      </c>
      <c r="AG34" s="288"/>
      <c r="AH34" s="171">
        <f t="shared" si="228"/>
        <v>0</v>
      </c>
      <c r="AI34" s="172" t="str">
        <f t="shared" si="229"/>
        <v>NO VÁLIDA</v>
      </c>
      <c r="AJ34" s="288">
        <v>2042</v>
      </c>
      <c r="AK34" s="171">
        <f t="shared" si="230"/>
        <v>27123886</v>
      </c>
      <c r="AL34" s="172" t="str">
        <f t="shared" si="231"/>
        <v>VÁLIDA</v>
      </c>
      <c r="AM34" s="288"/>
      <c r="AN34" s="171">
        <f t="shared" si="232"/>
        <v>0</v>
      </c>
      <c r="AO34" s="172" t="str">
        <f t="shared" si="233"/>
        <v>NO VÁLIDA</v>
      </c>
      <c r="AP34" s="288"/>
      <c r="AQ34" s="171">
        <f t="shared" si="234"/>
        <v>0</v>
      </c>
      <c r="AR34" s="172" t="str">
        <f t="shared" si="235"/>
        <v>NO VÁLIDA</v>
      </c>
      <c r="AS34" s="288">
        <v>2070</v>
      </c>
      <c r="AT34" s="171">
        <f t="shared" si="236"/>
        <v>27495810</v>
      </c>
      <c r="AU34" s="172" t="str">
        <f t="shared" si="237"/>
        <v>VÁLIDA</v>
      </c>
      <c r="AV34" s="288">
        <v>2070</v>
      </c>
      <c r="AW34" s="171">
        <f t="shared" si="238"/>
        <v>27495810</v>
      </c>
      <c r="AX34" s="172" t="str">
        <f t="shared" si="239"/>
        <v>VÁLIDA</v>
      </c>
      <c r="AY34" s="288"/>
      <c r="AZ34" s="171">
        <f t="shared" si="240"/>
        <v>0</v>
      </c>
      <c r="BA34" s="172" t="str">
        <f t="shared" si="241"/>
        <v>NO VÁLIDA</v>
      </c>
      <c r="BB34" s="288">
        <v>2069</v>
      </c>
      <c r="BC34" s="171">
        <f t="shared" si="242"/>
        <v>27482527</v>
      </c>
      <c r="BD34" s="172" t="str">
        <f t="shared" si="243"/>
        <v>VÁLIDA</v>
      </c>
      <c r="BE34" s="288">
        <v>2000</v>
      </c>
      <c r="BF34" s="171">
        <f t="shared" si="244"/>
        <v>26566000</v>
      </c>
      <c r="BG34" s="172" t="str">
        <f t="shared" si="245"/>
        <v>VÁLIDA</v>
      </c>
      <c r="BH34" s="288">
        <v>2070</v>
      </c>
      <c r="BI34" s="171">
        <f t="shared" si="246"/>
        <v>27495810</v>
      </c>
      <c r="BJ34" s="172" t="str">
        <f t="shared" si="247"/>
        <v>VÁLIDA</v>
      </c>
      <c r="BK34" s="288"/>
      <c r="BL34" s="171">
        <f t="shared" si="248"/>
        <v>0</v>
      </c>
      <c r="BM34" s="172" t="str">
        <f t="shared" si="249"/>
        <v>NO VÁLIDA</v>
      </c>
      <c r="BN34" s="288">
        <v>2070</v>
      </c>
      <c r="BO34" s="171">
        <f t="shared" si="250"/>
        <v>27495810</v>
      </c>
      <c r="BP34" s="172" t="str">
        <f t="shared" si="251"/>
        <v>VÁLIDA</v>
      </c>
      <c r="BQ34" s="288">
        <v>2070</v>
      </c>
      <c r="BR34" s="171">
        <f t="shared" si="252"/>
        <v>27495810</v>
      </c>
      <c r="BS34" s="172" t="str">
        <f t="shared" si="253"/>
        <v>VÁLIDA</v>
      </c>
    </row>
    <row r="35" spans="1:72" ht="40.5" customHeight="1" x14ac:dyDescent="0.2">
      <c r="A35" s="11"/>
      <c r="B35" s="167">
        <v>18</v>
      </c>
      <c r="C35" s="168" t="s">
        <v>108</v>
      </c>
      <c r="D35" s="169" t="s">
        <v>159</v>
      </c>
      <c r="E35" s="168" t="s">
        <v>148</v>
      </c>
      <c r="F35" s="198">
        <v>126</v>
      </c>
      <c r="G35" s="285">
        <v>527058</v>
      </c>
      <c r="H35" s="170">
        <f t="shared" si="211"/>
        <v>66409308</v>
      </c>
      <c r="I35" s="326">
        <v>525405.63</v>
      </c>
      <c r="J35" s="171">
        <f t="shared" si="212"/>
        <v>66201109</v>
      </c>
      <c r="K35" s="172" t="str">
        <f t="shared" si="213"/>
        <v>VÁLIDA</v>
      </c>
      <c r="L35" s="288">
        <v>515000</v>
      </c>
      <c r="M35" s="171">
        <f t="shared" si="214"/>
        <v>64890000</v>
      </c>
      <c r="N35" s="172" t="str">
        <f t="shared" si="215"/>
        <v>VÁLIDA</v>
      </c>
      <c r="O35" s="288"/>
      <c r="P35" s="171">
        <f t="shared" si="216"/>
        <v>0</v>
      </c>
      <c r="Q35" s="172" t="str">
        <f t="shared" si="217"/>
        <v>NO VÁLIDA</v>
      </c>
      <c r="R35" s="288">
        <v>527057</v>
      </c>
      <c r="S35" s="171">
        <f t="shared" si="218"/>
        <v>66409182</v>
      </c>
      <c r="T35" s="172" t="str">
        <f t="shared" si="219"/>
        <v>VÁLIDA</v>
      </c>
      <c r="U35" s="288">
        <v>450118</v>
      </c>
      <c r="V35" s="171">
        <f t="shared" si="220"/>
        <v>56714868</v>
      </c>
      <c r="W35" s="172" t="str">
        <f t="shared" si="221"/>
        <v>VÁLIDA</v>
      </c>
      <c r="X35" s="288"/>
      <c r="Y35" s="171">
        <f t="shared" si="222"/>
        <v>0</v>
      </c>
      <c r="Z35" s="172" t="str">
        <f t="shared" si="223"/>
        <v>NO VÁLIDA</v>
      </c>
      <c r="AA35" s="288">
        <v>520206</v>
      </c>
      <c r="AB35" s="171">
        <f t="shared" si="224"/>
        <v>65545956</v>
      </c>
      <c r="AC35" s="172" t="str">
        <f t="shared" si="225"/>
        <v>VÁLIDA</v>
      </c>
      <c r="AD35" s="288">
        <v>523368</v>
      </c>
      <c r="AE35" s="171">
        <f t="shared" si="226"/>
        <v>65944368</v>
      </c>
      <c r="AF35" s="172" t="str">
        <f t="shared" si="227"/>
        <v>VÁLIDA</v>
      </c>
      <c r="AG35" s="288"/>
      <c r="AH35" s="171">
        <f t="shared" si="228"/>
        <v>0</v>
      </c>
      <c r="AI35" s="172" t="str">
        <f t="shared" si="229"/>
        <v>NO VÁLIDA</v>
      </c>
      <c r="AJ35" s="288">
        <v>520048</v>
      </c>
      <c r="AK35" s="171">
        <f t="shared" si="230"/>
        <v>65526048</v>
      </c>
      <c r="AL35" s="172" t="str">
        <f t="shared" si="231"/>
        <v>VÁLIDA</v>
      </c>
      <c r="AM35" s="288"/>
      <c r="AN35" s="171">
        <f t="shared" si="232"/>
        <v>0</v>
      </c>
      <c r="AO35" s="172" t="str">
        <f t="shared" si="233"/>
        <v>NO VÁLIDA</v>
      </c>
      <c r="AP35" s="288"/>
      <c r="AQ35" s="171">
        <f t="shared" si="234"/>
        <v>0</v>
      </c>
      <c r="AR35" s="172" t="str">
        <f t="shared" si="235"/>
        <v>NO VÁLIDA</v>
      </c>
      <c r="AS35" s="288">
        <v>527058</v>
      </c>
      <c r="AT35" s="171">
        <f t="shared" si="236"/>
        <v>66409308</v>
      </c>
      <c r="AU35" s="172" t="str">
        <f t="shared" si="237"/>
        <v>VÁLIDA</v>
      </c>
      <c r="AV35" s="288">
        <v>527058</v>
      </c>
      <c r="AW35" s="171">
        <f t="shared" si="238"/>
        <v>66409308</v>
      </c>
      <c r="AX35" s="172" t="str">
        <f t="shared" si="239"/>
        <v>VÁLIDA</v>
      </c>
      <c r="AY35" s="288"/>
      <c r="AZ35" s="171">
        <f t="shared" si="240"/>
        <v>0</v>
      </c>
      <c r="BA35" s="172" t="str">
        <f t="shared" si="241"/>
        <v>NO VÁLIDA</v>
      </c>
      <c r="BB35" s="288">
        <v>526339</v>
      </c>
      <c r="BC35" s="171">
        <f t="shared" si="242"/>
        <v>66318714</v>
      </c>
      <c r="BD35" s="172" t="str">
        <f t="shared" si="243"/>
        <v>VÁLIDA</v>
      </c>
      <c r="BE35" s="288">
        <v>527000</v>
      </c>
      <c r="BF35" s="171">
        <f t="shared" si="244"/>
        <v>66402000</v>
      </c>
      <c r="BG35" s="172" t="str">
        <f t="shared" si="245"/>
        <v>VÁLIDA</v>
      </c>
      <c r="BH35" s="288">
        <v>527058</v>
      </c>
      <c r="BI35" s="171">
        <f t="shared" si="246"/>
        <v>66409308</v>
      </c>
      <c r="BJ35" s="172" t="str">
        <f t="shared" si="247"/>
        <v>VÁLIDA</v>
      </c>
      <c r="BK35" s="288"/>
      <c r="BL35" s="171">
        <f t="shared" si="248"/>
        <v>0</v>
      </c>
      <c r="BM35" s="172" t="str">
        <f t="shared" si="249"/>
        <v>NO VÁLIDA</v>
      </c>
      <c r="BN35" s="288">
        <v>527058</v>
      </c>
      <c r="BO35" s="171">
        <f t="shared" si="250"/>
        <v>66409308</v>
      </c>
      <c r="BP35" s="172" t="str">
        <f t="shared" si="251"/>
        <v>VÁLIDA</v>
      </c>
      <c r="BQ35" s="288">
        <v>527058</v>
      </c>
      <c r="BR35" s="171">
        <f t="shared" si="252"/>
        <v>66409308</v>
      </c>
      <c r="BS35" s="172" t="str">
        <f t="shared" si="253"/>
        <v>VÁLIDA</v>
      </c>
    </row>
    <row r="36" spans="1:72" ht="30.6" customHeight="1" thickBot="1" x14ac:dyDescent="0.25">
      <c r="A36" s="11"/>
      <c r="B36" s="167">
        <v>19</v>
      </c>
      <c r="C36" s="168" t="s">
        <v>95</v>
      </c>
      <c r="D36" s="169" t="s">
        <v>160</v>
      </c>
      <c r="E36" s="168" t="s">
        <v>150</v>
      </c>
      <c r="F36" s="198">
        <v>313</v>
      </c>
      <c r="G36" s="285">
        <v>569761</v>
      </c>
      <c r="H36" s="170">
        <f t="shared" si="211"/>
        <v>178335193</v>
      </c>
      <c r="I36" s="328">
        <v>563674.43999999994</v>
      </c>
      <c r="J36" s="248">
        <f t="shared" si="212"/>
        <v>176430100</v>
      </c>
      <c r="K36" s="249" t="str">
        <f t="shared" si="213"/>
        <v>VÁLIDA</v>
      </c>
      <c r="L36" s="290">
        <v>564500</v>
      </c>
      <c r="M36" s="248">
        <f t="shared" si="214"/>
        <v>176688500</v>
      </c>
      <c r="N36" s="249" t="str">
        <f t="shared" si="215"/>
        <v>VÁLIDA</v>
      </c>
      <c r="O36" s="290"/>
      <c r="P36" s="248">
        <f t="shared" si="216"/>
        <v>0</v>
      </c>
      <c r="Q36" s="249" t="str">
        <f t="shared" si="217"/>
        <v>NO VÁLIDA</v>
      </c>
      <c r="R36" s="290">
        <v>569750</v>
      </c>
      <c r="S36" s="248">
        <f t="shared" si="218"/>
        <v>178331750</v>
      </c>
      <c r="T36" s="249" t="str">
        <f t="shared" si="219"/>
        <v>VÁLIDA</v>
      </c>
      <c r="U36" s="290">
        <v>585335</v>
      </c>
      <c r="V36" s="248">
        <f t="shared" si="220"/>
        <v>183209855</v>
      </c>
      <c r="W36" s="249" t="str">
        <f t="shared" si="221"/>
        <v>NO VÁLIDA</v>
      </c>
      <c r="X36" s="290"/>
      <c r="Y36" s="248">
        <f t="shared" si="222"/>
        <v>0</v>
      </c>
      <c r="Z36" s="249" t="str">
        <f t="shared" si="223"/>
        <v>NO VÁLIDA</v>
      </c>
      <c r="AA36" s="290">
        <v>562354</v>
      </c>
      <c r="AB36" s="248">
        <f t="shared" si="224"/>
        <v>176016802</v>
      </c>
      <c r="AC36" s="249" t="str">
        <f t="shared" si="225"/>
        <v>VÁLIDA</v>
      </c>
      <c r="AD36" s="290">
        <v>565772</v>
      </c>
      <c r="AE36" s="248">
        <f t="shared" si="226"/>
        <v>177086636</v>
      </c>
      <c r="AF36" s="249" t="str">
        <f t="shared" si="227"/>
        <v>VÁLIDA</v>
      </c>
      <c r="AG36" s="290"/>
      <c r="AH36" s="248">
        <f t="shared" si="228"/>
        <v>0</v>
      </c>
      <c r="AI36" s="249" t="str">
        <f t="shared" si="229"/>
        <v>NO VÁLIDA</v>
      </c>
      <c r="AJ36" s="290">
        <v>562183</v>
      </c>
      <c r="AK36" s="248">
        <f t="shared" si="230"/>
        <v>175963279</v>
      </c>
      <c r="AL36" s="249" t="str">
        <f t="shared" si="231"/>
        <v>VÁLIDA</v>
      </c>
      <c r="AM36" s="290"/>
      <c r="AN36" s="248">
        <f t="shared" si="232"/>
        <v>0</v>
      </c>
      <c r="AO36" s="249" t="str">
        <f t="shared" si="233"/>
        <v>NO VÁLIDA</v>
      </c>
      <c r="AP36" s="290"/>
      <c r="AQ36" s="248">
        <f t="shared" si="234"/>
        <v>0</v>
      </c>
      <c r="AR36" s="249" t="str">
        <f t="shared" si="235"/>
        <v>NO VÁLIDA</v>
      </c>
      <c r="AS36" s="290">
        <v>569761</v>
      </c>
      <c r="AT36" s="248">
        <f t="shared" si="236"/>
        <v>178335193</v>
      </c>
      <c r="AU36" s="249" t="str">
        <f t="shared" si="237"/>
        <v>VÁLIDA</v>
      </c>
      <c r="AV36" s="290">
        <v>569761</v>
      </c>
      <c r="AW36" s="248">
        <f t="shared" si="238"/>
        <v>178335193</v>
      </c>
      <c r="AX36" s="249" t="str">
        <f t="shared" si="239"/>
        <v>VÁLIDA</v>
      </c>
      <c r="AY36" s="290"/>
      <c r="AZ36" s="248">
        <f t="shared" si="240"/>
        <v>0</v>
      </c>
      <c r="BA36" s="249" t="str">
        <f t="shared" si="241"/>
        <v>NO VÁLIDA</v>
      </c>
      <c r="BB36" s="290">
        <v>563176</v>
      </c>
      <c r="BC36" s="248">
        <f t="shared" si="242"/>
        <v>176274088</v>
      </c>
      <c r="BD36" s="249" t="str">
        <f t="shared" si="243"/>
        <v>VÁLIDA</v>
      </c>
      <c r="BE36" s="290">
        <v>569000</v>
      </c>
      <c r="BF36" s="248">
        <f t="shared" si="244"/>
        <v>178097000</v>
      </c>
      <c r="BG36" s="249" t="str">
        <f t="shared" si="245"/>
        <v>VÁLIDA</v>
      </c>
      <c r="BH36" s="290">
        <v>569761</v>
      </c>
      <c r="BI36" s="248">
        <f t="shared" si="246"/>
        <v>178335193</v>
      </c>
      <c r="BJ36" s="249" t="str">
        <f t="shared" si="247"/>
        <v>VÁLIDA</v>
      </c>
      <c r="BK36" s="290"/>
      <c r="BL36" s="248">
        <f t="shared" si="248"/>
        <v>0</v>
      </c>
      <c r="BM36" s="249" t="str">
        <f t="shared" si="249"/>
        <v>NO VÁLIDA</v>
      </c>
      <c r="BN36" s="290">
        <v>569761</v>
      </c>
      <c r="BO36" s="248">
        <f t="shared" si="250"/>
        <v>178335193</v>
      </c>
      <c r="BP36" s="249" t="str">
        <f t="shared" si="251"/>
        <v>VÁLIDA</v>
      </c>
      <c r="BQ36" s="290">
        <v>569761</v>
      </c>
      <c r="BR36" s="248">
        <f t="shared" si="252"/>
        <v>178335193</v>
      </c>
      <c r="BS36" s="249" t="str">
        <f t="shared" si="253"/>
        <v>VÁLIDA</v>
      </c>
    </row>
    <row r="37" spans="1:72" ht="22.5" customHeight="1" x14ac:dyDescent="0.2">
      <c r="A37" s="11"/>
      <c r="B37" s="165" t="s">
        <v>123</v>
      </c>
      <c r="C37" s="166"/>
      <c r="D37" s="166"/>
      <c r="E37" s="166"/>
      <c r="F37" s="199"/>
      <c r="G37" s="286"/>
      <c r="H37" s="194">
        <f>SUM(H38:H39)</f>
        <v>7438899</v>
      </c>
      <c r="I37" s="327"/>
      <c r="J37" s="196">
        <f>SUM(J38:J39)</f>
        <v>7352458</v>
      </c>
      <c r="K37" s="197"/>
      <c r="L37" s="289"/>
      <c r="M37" s="196">
        <f t="shared" ref="M37" si="254">SUM(M38:M39)</f>
        <v>7438899</v>
      </c>
      <c r="N37" s="197"/>
      <c r="O37" s="289"/>
      <c r="P37" s="196">
        <f t="shared" ref="P37" si="255">SUM(P38:P39)</f>
        <v>0</v>
      </c>
      <c r="Q37" s="197"/>
      <c r="R37" s="289"/>
      <c r="S37" s="196">
        <f t="shared" ref="S37" si="256">SUM(S38:S39)</f>
        <v>7438875</v>
      </c>
      <c r="T37" s="197"/>
      <c r="U37" s="289"/>
      <c r="V37" s="196">
        <f t="shared" ref="V37" si="257">SUM(V38:V39)</f>
        <v>7140000</v>
      </c>
      <c r="W37" s="197"/>
      <c r="X37" s="289"/>
      <c r="Y37" s="196">
        <f t="shared" ref="Y37" si="258">SUM(Y38:Y39)</f>
        <v>0</v>
      </c>
      <c r="Z37" s="197"/>
      <c r="AA37" s="289"/>
      <c r="AB37" s="196">
        <f t="shared" ref="AB37" si="259">SUM(AB38:AB39)</f>
        <v>7342200</v>
      </c>
      <c r="AC37" s="197"/>
      <c r="AD37" s="289"/>
      <c r="AE37" s="196">
        <f t="shared" ref="AE37" si="260">SUM(AE38:AE39)</f>
        <v>7386813</v>
      </c>
      <c r="AF37" s="197"/>
      <c r="AG37" s="289"/>
      <c r="AH37" s="196">
        <f t="shared" ref="AH37" si="261">SUM(AH38:AH39)</f>
        <v>0</v>
      </c>
      <c r="AI37" s="197"/>
      <c r="AJ37" s="289"/>
      <c r="AK37" s="196">
        <f t="shared" ref="AK37" si="262">SUM(AK38:AK39)</f>
        <v>7339948</v>
      </c>
      <c r="AL37" s="197"/>
      <c r="AM37" s="289"/>
      <c r="AN37" s="196">
        <f t="shared" ref="AN37" si="263">SUM(AN38:AN39)</f>
        <v>0</v>
      </c>
      <c r="AO37" s="197"/>
      <c r="AP37" s="289"/>
      <c r="AQ37" s="196">
        <f t="shared" ref="AQ37" si="264">SUM(AQ38:AQ39)</f>
        <v>0</v>
      </c>
      <c r="AR37" s="197"/>
      <c r="AS37" s="289"/>
      <c r="AT37" s="196">
        <f t="shared" ref="AT37" si="265">SUM(AT38:AT39)</f>
        <v>7438899</v>
      </c>
      <c r="AU37" s="197"/>
      <c r="AV37" s="289"/>
      <c r="AW37" s="196">
        <f t="shared" ref="AW37" si="266">SUM(AW38:AW39)</f>
        <v>7438899</v>
      </c>
      <c r="AX37" s="197"/>
      <c r="AY37" s="289"/>
      <c r="AZ37" s="196">
        <f t="shared" ref="AZ37" si="267">SUM(AZ38:AZ39)</f>
        <v>0</v>
      </c>
      <c r="BA37" s="197"/>
      <c r="BB37" s="289"/>
      <c r="BC37" s="196">
        <f t="shared" ref="BC37" si="268">SUM(BC38:BC39)</f>
        <v>7183233</v>
      </c>
      <c r="BD37" s="197"/>
      <c r="BE37" s="289"/>
      <c r="BF37" s="196">
        <f t="shared" ref="BF37" si="269">SUM(BF38:BF39)</f>
        <v>7425000</v>
      </c>
      <c r="BG37" s="197"/>
      <c r="BH37" s="289"/>
      <c r="BI37" s="196">
        <f t="shared" ref="BI37" si="270">SUM(BI38:BI39)</f>
        <v>7438899</v>
      </c>
      <c r="BJ37" s="197"/>
      <c r="BK37" s="289"/>
      <c r="BL37" s="196">
        <f t="shared" ref="BL37" si="271">SUM(BL38:BL39)</f>
        <v>0</v>
      </c>
      <c r="BM37" s="197"/>
      <c r="BN37" s="289"/>
      <c r="BO37" s="196">
        <f t="shared" ref="BO37" si="272">SUM(BO38:BO39)</f>
        <v>7438899</v>
      </c>
      <c r="BP37" s="197"/>
      <c r="BQ37" s="289"/>
      <c r="BR37" s="196">
        <f t="shared" ref="BR37" si="273">SUM(BR38:BR39)</f>
        <v>7438896</v>
      </c>
      <c r="BS37" s="197"/>
    </row>
    <row r="38" spans="1:72" ht="40.5" customHeight="1" x14ac:dyDescent="0.2">
      <c r="A38" s="11"/>
      <c r="B38" s="167">
        <v>20</v>
      </c>
      <c r="C38" s="168" t="s">
        <v>136</v>
      </c>
      <c r="D38" s="169" t="s">
        <v>161</v>
      </c>
      <c r="E38" s="168" t="s">
        <v>162</v>
      </c>
      <c r="F38" s="198">
        <v>3</v>
      </c>
      <c r="G38" s="285">
        <v>395705.09780448105</v>
      </c>
      <c r="H38" s="170">
        <f t="shared" ref="H38:H39" si="274">ROUND(G38*F38,0)</f>
        <v>1187115</v>
      </c>
      <c r="I38" s="326">
        <v>391061.27</v>
      </c>
      <c r="J38" s="171">
        <f t="shared" ref="J38:J39" si="275">ROUND($F38*I38,0)</f>
        <v>1173184</v>
      </c>
      <c r="K38" s="172" t="str">
        <f t="shared" ref="K38:K39" si="276">+IF(I38&gt;0,IF(OR(I38&gt;$G38,ROUND(I38,0)&gt;$G38),"NO VÁLIDA","VÁLIDA"),"NO VÁLIDA")</f>
        <v>VÁLIDA</v>
      </c>
      <c r="L38" s="326">
        <v>395705.1</v>
      </c>
      <c r="M38" s="171">
        <f t="shared" ref="M38:M39" si="277">ROUND($F38*L38,0)</f>
        <v>1187115</v>
      </c>
      <c r="N38" s="172" t="str">
        <f t="shared" ref="N38:N39" si="278">+IF(L38&gt;0,IF(OR(L38&gt;$G38,ROUND(L38,0)&gt;$G38),"NO VÁLIDA","VÁLIDA"),"NO VÁLIDA")</f>
        <v>NO VÁLIDA</v>
      </c>
      <c r="O38" s="288"/>
      <c r="P38" s="171">
        <f t="shared" ref="P38:P39" si="279">ROUND($F38*O38,0)</f>
        <v>0</v>
      </c>
      <c r="Q38" s="172" t="str">
        <f t="shared" ref="Q38:Q39" si="280">+IF(O38&gt;0,IF(OR(O38&gt;$G38,ROUND(O38,0)&gt;$G38),"NO VÁLIDA","VÁLIDA"),"NO VÁLIDA")</f>
        <v>NO VÁLIDA</v>
      </c>
      <c r="R38" s="288">
        <v>395705</v>
      </c>
      <c r="S38" s="171">
        <f t="shared" ref="S38:S39" si="281">ROUND($F38*R38,0)</f>
        <v>1187115</v>
      </c>
      <c r="T38" s="172" t="str">
        <f t="shared" ref="T38:T39" si="282">+IF(R38&gt;0,IF(OR(R38&gt;$G38,ROUND(R38,0)&gt;$G38),"NO VÁLIDA","VÁLIDA"),"NO VÁLIDA")</f>
        <v>VÁLIDA</v>
      </c>
      <c r="U38" s="288">
        <v>380000</v>
      </c>
      <c r="V38" s="171">
        <f t="shared" ref="V38:V39" si="283">ROUND($F38*U38,0)</f>
        <v>1140000</v>
      </c>
      <c r="W38" s="172" t="str">
        <f t="shared" ref="W38:W39" si="284">+IF(U38&gt;0,IF(OR(U38&gt;$G38,ROUND(U38,0)&gt;$G38),"NO VÁLIDA","VÁLIDA"),"NO VÁLIDA")</f>
        <v>VÁLIDA</v>
      </c>
      <c r="X38" s="288"/>
      <c r="Y38" s="171">
        <f t="shared" ref="Y38:Y39" si="285">ROUND($F38*X38,0)</f>
        <v>0</v>
      </c>
      <c r="Z38" s="172" t="str">
        <f t="shared" ref="Z38:Z39" si="286">+IF(X38&gt;0,IF(OR(X38&gt;$G38,ROUND(X38,0)&gt;$G38),"NO VÁLIDA","VÁLIDA"),"NO VÁLIDA")</f>
        <v>NO VÁLIDA</v>
      </c>
      <c r="AA38" s="288">
        <v>390560</v>
      </c>
      <c r="AB38" s="171">
        <f t="shared" ref="AB38:AB39" si="287">ROUND($F38*AA38,0)</f>
        <v>1171680</v>
      </c>
      <c r="AC38" s="172" t="str">
        <f t="shared" ref="AC38:AC39" si="288">+IF(AA38&gt;0,IF(OR(AA38&gt;$G38,ROUND(AA38,0)&gt;$G38),"NO VÁLIDA","VÁLIDA"),"NO VÁLIDA")</f>
        <v>VÁLIDA</v>
      </c>
      <c r="AD38" s="288">
        <v>392935</v>
      </c>
      <c r="AE38" s="171">
        <f t="shared" ref="AE38:AE39" si="289">ROUND($F38*AD38,0)</f>
        <v>1178805</v>
      </c>
      <c r="AF38" s="172" t="str">
        <f t="shared" ref="AF38:AF39" si="290">+IF(AD38&gt;0,IF(OR(AD38&gt;$G38,ROUND(AD38,0)&gt;$G38),"NO VÁLIDA","VÁLIDA"),"NO VÁLIDA")</f>
        <v>VÁLIDA</v>
      </c>
      <c r="AG38" s="288"/>
      <c r="AH38" s="171">
        <f t="shared" ref="AH38:AH39" si="291">ROUND($F38*AG38,0)</f>
        <v>0</v>
      </c>
      <c r="AI38" s="172" t="str">
        <f t="shared" ref="AI38:AI39" si="292">+IF(AG38&gt;0,IF(OR(AG38&gt;$G38,ROUND(AG38,0)&gt;$G38),"NO VÁLIDA","VÁLIDA"),"NO VÁLIDA")</f>
        <v>NO VÁLIDA</v>
      </c>
      <c r="AJ38" s="326">
        <v>390441.24</v>
      </c>
      <c r="AK38" s="171">
        <f t="shared" ref="AK38:AK39" si="293">ROUND($F38*AJ38,0)</f>
        <v>1171324</v>
      </c>
      <c r="AL38" s="172" t="str">
        <f t="shared" ref="AL38:AL39" si="294">+IF(AJ38&gt;0,IF(OR(AJ38&gt;$G38,ROUND(AJ38,0)&gt;$G38),"NO VÁLIDA","VÁLIDA"),"NO VÁLIDA")</f>
        <v>VÁLIDA</v>
      </c>
      <c r="AM38" s="288"/>
      <c r="AN38" s="171">
        <f t="shared" ref="AN38:AN39" si="295">ROUND($F38*AM38,0)</f>
        <v>0</v>
      </c>
      <c r="AO38" s="172" t="str">
        <f t="shared" ref="AO38:AO39" si="296">+IF(AM38&gt;0,IF(OR(AM38&gt;$G38,ROUND(AM38,0)&gt;$G38),"NO VÁLIDA","VÁLIDA"),"NO VÁLIDA")</f>
        <v>NO VÁLIDA</v>
      </c>
      <c r="AP38" s="288"/>
      <c r="AQ38" s="171">
        <f t="shared" ref="AQ38:AQ39" si="297">ROUND($F38*AP38,0)</f>
        <v>0</v>
      </c>
      <c r="AR38" s="172" t="str">
        <f t="shared" ref="AR38:AR39" si="298">+IF(AP38&gt;0,IF(OR(AP38&gt;$G38,ROUND(AP38,0)&gt;$G38),"NO VÁLIDA","VÁLIDA"),"NO VÁLIDA")</f>
        <v>NO VÁLIDA</v>
      </c>
      <c r="AS38" s="288">
        <f>G38</f>
        <v>395705.09780448105</v>
      </c>
      <c r="AT38" s="171">
        <f t="shared" ref="AT38:AT39" si="299">ROUND($F38*AS38,0)</f>
        <v>1187115</v>
      </c>
      <c r="AU38" s="172" t="str">
        <f t="shared" ref="AU38:AU39" si="300">+IF(AS38&gt;0,IF(OR(AS38&gt;$G38,ROUND(AS38,0)&gt;$G38),"NO VÁLIDA","VÁLIDA"),"NO VÁLIDA")</f>
        <v>VÁLIDA</v>
      </c>
      <c r="AV38" s="288">
        <f>G38</f>
        <v>395705.09780448105</v>
      </c>
      <c r="AW38" s="171">
        <f t="shared" ref="AW38:AW39" si="301">ROUND($F38*AV38,0)</f>
        <v>1187115</v>
      </c>
      <c r="AX38" s="172" t="str">
        <f t="shared" ref="AX38:AX39" si="302">+IF(AV38&gt;0,IF(OR(AV38&gt;$G38,ROUND(AV38,0)&gt;$G38),"NO VÁLIDA","VÁLIDA"),"NO VÁLIDA")</f>
        <v>VÁLIDA</v>
      </c>
      <c r="AY38" s="288"/>
      <c r="AZ38" s="171">
        <f t="shared" ref="AZ38:AZ39" si="303">ROUND($F38*AY38,0)</f>
        <v>0</v>
      </c>
      <c r="BA38" s="172" t="str">
        <f t="shared" ref="BA38:BA39" si="304">+IF(AY38&gt;0,IF(OR(AY38&gt;$G38,ROUND(AY38,0)&gt;$G38),"NO VÁLIDA","VÁLIDA"),"NO VÁLIDA")</f>
        <v>NO VÁLIDA</v>
      </c>
      <c r="BB38" s="288">
        <v>391579</v>
      </c>
      <c r="BC38" s="171">
        <f t="shared" ref="BC38:BC39" si="305">ROUND($F38*BB38,0)</f>
        <v>1174737</v>
      </c>
      <c r="BD38" s="172" t="str">
        <f t="shared" ref="BD38:BD39" si="306">+IF(BB38&gt;0,IF(OR(BB38&gt;$G38,ROUND(BB38,0)&gt;$G38),"NO VÁLIDA","VÁLIDA"),"NO VÁLIDA")</f>
        <v>VÁLIDA</v>
      </c>
      <c r="BE38" s="288">
        <v>395000</v>
      </c>
      <c r="BF38" s="171">
        <f t="shared" ref="BF38:BF39" si="307">ROUND($F38*BE38,0)</f>
        <v>1185000</v>
      </c>
      <c r="BG38" s="172" t="str">
        <f t="shared" ref="BG38:BG39" si="308">+IF(BE38&gt;0,IF(OR(BE38&gt;$G38,ROUND(BE38,0)&gt;$G38),"NO VÁLIDA","VÁLIDA"),"NO VÁLIDA")</f>
        <v>VÁLIDA</v>
      </c>
      <c r="BH38" s="288">
        <v>395705</v>
      </c>
      <c r="BI38" s="171">
        <f t="shared" ref="BI38:BI39" si="309">ROUND($F38*BH38,0)</f>
        <v>1187115</v>
      </c>
      <c r="BJ38" s="172" t="str">
        <f t="shared" ref="BJ38:BJ39" si="310">+IF(BH38&gt;0,IF(OR(BH38&gt;$G38,ROUND(BH38,0)&gt;$G38),"NO VÁLIDA","VÁLIDA"),"NO VÁLIDA")</f>
        <v>VÁLIDA</v>
      </c>
      <c r="BK38" s="288"/>
      <c r="BL38" s="171">
        <f t="shared" ref="BL38:BL39" si="311">ROUND($F38*BK38,0)</f>
        <v>0</v>
      </c>
      <c r="BM38" s="172" t="str">
        <f t="shared" ref="BM38:BM39" si="312">+IF(BK38&gt;0,IF(OR(BK38&gt;$G38,ROUND(BK38,0)&gt;$G38),"NO VÁLIDA","VÁLIDA"),"NO VÁLIDA")</f>
        <v>NO VÁLIDA</v>
      </c>
      <c r="BN38" s="288">
        <v>395705</v>
      </c>
      <c r="BO38" s="171">
        <f t="shared" ref="BO38:BO39" si="313">ROUND($F38*BN38,0)</f>
        <v>1187115</v>
      </c>
      <c r="BP38" s="172" t="str">
        <f t="shared" ref="BP38:BP39" si="314">+IF(BN38&gt;0,IF(OR(BN38&gt;$G38,ROUND(BN38,0)&gt;$G38),"NO VÁLIDA","VÁLIDA"),"NO VÁLIDA")</f>
        <v>VÁLIDA</v>
      </c>
      <c r="BQ38" s="288">
        <v>395704</v>
      </c>
      <c r="BR38" s="171">
        <f t="shared" ref="BR38:BR39" si="315">ROUND($F38*BQ38,0)</f>
        <v>1187112</v>
      </c>
      <c r="BS38" s="172" t="str">
        <f t="shared" ref="BS38:BS39" si="316">+IF(BQ38&gt;0,IF(OR(BQ38&gt;$G38,ROUND(BQ38,0)&gt;$G38),"NO VÁLIDA","VÁLIDA"),"NO VÁLIDA")</f>
        <v>VÁLIDA</v>
      </c>
    </row>
    <row r="39" spans="1:72" ht="40.5" customHeight="1" thickBot="1" x14ac:dyDescent="0.25">
      <c r="A39" s="11"/>
      <c r="B39" s="167">
        <v>21</v>
      </c>
      <c r="C39" s="168" t="s">
        <v>99</v>
      </c>
      <c r="D39" s="169" t="s">
        <v>163</v>
      </c>
      <c r="E39" s="168" t="s">
        <v>162</v>
      </c>
      <c r="F39" s="198">
        <v>24</v>
      </c>
      <c r="G39" s="285">
        <v>260491</v>
      </c>
      <c r="H39" s="170">
        <f t="shared" si="274"/>
        <v>6251784</v>
      </c>
      <c r="I39" s="328">
        <v>257469.74</v>
      </c>
      <c r="J39" s="248">
        <f t="shared" si="275"/>
        <v>6179274</v>
      </c>
      <c r="K39" s="249" t="str">
        <f t="shared" si="276"/>
        <v>VÁLIDA</v>
      </c>
      <c r="L39" s="290">
        <v>260491</v>
      </c>
      <c r="M39" s="248">
        <f t="shared" si="277"/>
        <v>6251784</v>
      </c>
      <c r="N39" s="249" t="str">
        <f t="shared" si="278"/>
        <v>VÁLIDA</v>
      </c>
      <c r="O39" s="290"/>
      <c r="P39" s="248">
        <f t="shared" si="279"/>
        <v>0</v>
      </c>
      <c r="Q39" s="249" t="str">
        <f t="shared" si="280"/>
        <v>NO VÁLIDA</v>
      </c>
      <c r="R39" s="290">
        <v>260490</v>
      </c>
      <c r="S39" s="248">
        <f t="shared" si="281"/>
        <v>6251760</v>
      </c>
      <c r="T39" s="249" t="str">
        <f t="shared" si="282"/>
        <v>VÁLIDA</v>
      </c>
      <c r="U39" s="290">
        <v>250000</v>
      </c>
      <c r="V39" s="248">
        <f t="shared" si="283"/>
        <v>6000000</v>
      </c>
      <c r="W39" s="249" t="str">
        <f t="shared" si="284"/>
        <v>VÁLIDA</v>
      </c>
      <c r="X39" s="290"/>
      <c r="Y39" s="248">
        <f t="shared" si="285"/>
        <v>0</v>
      </c>
      <c r="Z39" s="249" t="str">
        <f t="shared" si="286"/>
        <v>NO VÁLIDA</v>
      </c>
      <c r="AA39" s="290">
        <v>257105</v>
      </c>
      <c r="AB39" s="248">
        <f t="shared" si="287"/>
        <v>6170520</v>
      </c>
      <c r="AC39" s="249" t="str">
        <f t="shared" si="288"/>
        <v>VÁLIDA</v>
      </c>
      <c r="AD39" s="290">
        <v>258667</v>
      </c>
      <c r="AE39" s="248">
        <f t="shared" si="289"/>
        <v>6208008</v>
      </c>
      <c r="AF39" s="249" t="str">
        <f t="shared" si="290"/>
        <v>VÁLIDA</v>
      </c>
      <c r="AG39" s="290"/>
      <c r="AH39" s="248">
        <f t="shared" si="291"/>
        <v>0</v>
      </c>
      <c r="AI39" s="249" t="str">
        <f t="shared" si="292"/>
        <v>NO VÁLIDA</v>
      </c>
      <c r="AJ39" s="290">
        <v>257026</v>
      </c>
      <c r="AK39" s="248">
        <f t="shared" si="293"/>
        <v>6168624</v>
      </c>
      <c r="AL39" s="249" t="str">
        <f t="shared" si="294"/>
        <v>VÁLIDA</v>
      </c>
      <c r="AM39" s="290"/>
      <c r="AN39" s="248">
        <f t="shared" si="295"/>
        <v>0</v>
      </c>
      <c r="AO39" s="249" t="str">
        <f t="shared" si="296"/>
        <v>NO VÁLIDA</v>
      </c>
      <c r="AP39" s="290"/>
      <c r="AQ39" s="248">
        <f t="shared" si="297"/>
        <v>0</v>
      </c>
      <c r="AR39" s="249" t="str">
        <f t="shared" si="298"/>
        <v>NO VÁLIDA</v>
      </c>
      <c r="AS39" s="290">
        <v>260491</v>
      </c>
      <c r="AT39" s="248">
        <f t="shared" si="299"/>
        <v>6251784</v>
      </c>
      <c r="AU39" s="249" t="str">
        <f t="shared" si="300"/>
        <v>VÁLIDA</v>
      </c>
      <c r="AV39" s="290">
        <v>260491</v>
      </c>
      <c r="AW39" s="248">
        <f t="shared" si="301"/>
        <v>6251784</v>
      </c>
      <c r="AX39" s="249" t="str">
        <f t="shared" si="302"/>
        <v>VÁLIDA</v>
      </c>
      <c r="AY39" s="290"/>
      <c r="AZ39" s="248">
        <f t="shared" si="303"/>
        <v>0</v>
      </c>
      <c r="BA39" s="249" t="str">
        <f t="shared" si="304"/>
        <v>NO VÁLIDA</v>
      </c>
      <c r="BB39" s="290">
        <v>250354</v>
      </c>
      <c r="BC39" s="248">
        <f t="shared" si="305"/>
        <v>6008496</v>
      </c>
      <c r="BD39" s="249" t="str">
        <f t="shared" si="306"/>
        <v>VÁLIDA</v>
      </c>
      <c r="BE39" s="290">
        <v>260000</v>
      </c>
      <c r="BF39" s="248">
        <f t="shared" si="307"/>
        <v>6240000</v>
      </c>
      <c r="BG39" s="249" t="str">
        <f t="shared" si="308"/>
        <v>VÁLIDA</v>
      </c>
      <c r="BH39" s="290">
        <v>260491</v>
      </c>
      <c r="BI39" s="248">
        <f t="shared" si="309"/>
        <v>6251784</v>
      </c>
      <c r="BJ39" s="249" t="str">
        <f t="shared" si="310"/>
        <v>VÁLIDA</v>
      </c>
      <c r="BK39" s="290"/>
      <c r="BL39" s="248">
        <f t="shared" si="311"/>
        <v>0</v>
      </c>
      <c r="BM39" s="249" t="str">
        <f t="shared" si="312"/>
        <v>NO VÁLIDA</v>
      </c>
      <c r="BN39" s="290">
        <v>260491</v>
      </c>
      <c r="BO39" s="248">
        <f t="shared" si="313"/>
        <v>6251784</v>
      </c>
      <c r="BP39" s="249" t="str">
        <f t="shared" si="314"/>
        <v>VÁLIDA</v>
      </c>
      <c r="BQ39" s="290">
        <v>260491</v>
      </c>
      <c r="BR39" s="248">
        <f t="shared" si="315"/>
        <v>6251784</v>
      </c>
      <c r="BS39" s="249" t="str">
        <f t="shared" si="316"/>
        <v>VÁLIDA</v>
      </c>
    </row>
    <row r="40" spans="1:72" ht="22.5" customHeight="1" x14ac:dyDescent="0.2">
      <c r="A40" s="11"/>
      <c r="B40" s="165" t="s">
        <v>111</v>
      </c>
      <c r="C40" s="166"/>
      <c r="D40" s="166"/>
      <c r="E40" s="166"/>
      <c r="F40" s="199"/>
      <c r="G40" s="286"/>
      <c r="H40" s="194">
        <f>SUM(H41:H41)</f>
        <v>56573504</v>
      </c>
      <c r="I40" s="327"/>
      <c r="J40" s="196">
        <f>SUM(J41:J41)</f>
        <v>55894622</v>
      </c>
      <c r="K40" s="197"/>
      <c r="L40" s="289"/>
      <c r="M40" s="196">
        <f t="shared" ref="M40" si="317">SUM(M41:M41)</f>
        <v>56573504</v>
      </c>
      <c r="N40" s="197"/>
      <c r="O40" s="289"/>
      <c r="P40" s="196">
        <f t="shared" ref="P40" si="318">SUM(P41:P41)</f>
        <v>0</v>
      </c>
      <c r="Q40" s="197"/>
      <c r="R40" s="289"/>
      <c r="S40" s="196">
        <f t="shared" ref="S40" si="319">SUM(S41:S41)</f>
        <v>56522074</v>
      </c>
      <c r="T40" s="197"/>
      <c r="U40" s="289"/>
      <c r="V40" s="196">
        <f t="shared" ref="V40" si="320">SUM(V41:V41)</f>
        <v>56573504</v>
      </c>
      <c r="W40" s="197"/>
      <c r="X40" s="289"/>
      <c r="Y40" s="196">
        <f t="shared" ref="Y40" si="321">SUM(Y41:Y41)</f>
        <v>0</v>
      </c>
      <c r="Z40" s="197"/>
      <c r="AA40" s="289"/>
      <c r="AB40" s="196">
        <f t="shared" ref="AB40" si="322">SUM(AB41:AB41)</f>
        <v>55853478</v>
      </c>
      <c r="AC40" s="197"/>
      <c r="AD40" s="289"/>
      <c r="AE40" s="196">
        <f t="shared" ref="AE40" si="323">SUM(AE41:AE41)</f>
        <v>56162060</v>
      </c>
      <c r="AF40" s="197"/>
      <c r="AG40" s="289"/>
      <c r="AH40" s="196">
        <f t="shared" ref="AH40" si="324">SUM(AH41:AH41)</f>
        <v>0</v>
      </c>
      <c r="AI40" s="197"/>
      <c r="AJ40" s="289"/>
      <c r="AK40" s="196">
        <f t="shared" ref="AK40" si="325">SUM(AK41:AK41)</f>
        <v>55802047</v>
      </c>
      <c r="AL40" s="197"/>
      <c r="AM40" s="289"/>
      <c r="AN40" s="196">
        <f t="shared" ref="AN40" si="326">SUM(AN41:AN41)</f>
        <v>0</v>
      </c>
      <c r="AO40" s="197"/>
      <c r="AP40" s="289"/>
      <c r="AQ40" s="196">
        <f t="shared" ref="AQ40" si="327">SUM(AQ41:AQ41)</f>
        <v>0</v>
      </c>
      <c r="AR40" s="197"/>
      <c r="AS40" s="289"/>
      <c r="AT40" s="196">
        <f t="shared" ref="AT40" si="328">SUM(AT41:AT41)</f>
        <v>56573504</v>
      </c>
      <c r="AU40" s="197"/>
      <c r="AV40" s="289"/>
      <c r="AW40" s="196">
        <f t="shared" ref="AW40" si="329">SUM(AW41:AW41)</f>
        <v>56573504</v>
      </c>
      <c r="AX40" s="197"/>
      <c r="AY40" s="289"/>
      <c r="AZ40" s="196">
        <f t="shared" ref="AZ40" si="330">SUM(AZ41:AZ41)</f>
        <v>0</v>
      </c>
      <c r="BA40" s="197"/>
      <c r="BB40" s="289"/>
      <c r="BC40" s="196">
        <f t="shared" ref="BC40" si="331">SUM(BC41:BC41)</f>
        <v>54567716</v>
      </c>
      <c r="BD40" s="197"/>
      <c r="BE40" s="289"/>
      <c r="BF40" s="196">
        <f t="shared" ref="BF40" si="332">SUM(BF41:BF41)</f>
        <v>55544895</v>
      </c>
      <c r="BG40" s="197"/>
      <c r="BH40" s="289"/>
      <c r="BI40" s="196">
        <f t="shared" ref="BI40" si="333">SUM(BI41:BI41)</f>
        <v>56573504</v>
      </c>
      <c r="BJ40" s="197"/>
      <c r="BK40" s="289"/>
      <c r="BL40" s="196">
        <f t="shared" ref="BL40" si="334">SUM(BL41:BL41)</f>
        <v>0</v>
      </c>
      <c r="BM40" s="197"/>
      <c r="BN40" s="289"/>
      <c r="BO40" s="196">
        <f t="shared" ref="BO40" si="335">SUM(BO41:BO41)</f>
        <v>56573504</v>
      </c>
      <c r="BP40" s="197"/>
      <c r="BQ40" s="289"/>
      <c r="BR40" s="196">
        <f t="shared" ref="BR40" si="336">SUM(BR41:BR41)</f>
        <v>56470643</v>
      </c>
      <c r="BS40" s="197"/>
    </row>
    <row r="41" spans="1:72" ht="70.5" customHeight="1" thickBot="1" x14ac:dyDescent="0.25">
      <c r="A41" s="11"/>
      <c r="B41" s="253">
        <v>22</v>
      </c>
      <c r="C41" s="254" t="s">
        <v>94</v>
      </c>
      <c r="D41" s="260" t="s">
        <v>164</v>
      </c>
      <c r="E41" s="254" t="s">
        <v>165</v>
      </c>
      <c r="F41" s="261">
        <v>51430.458322675273</v>
      </c>
      <c r="G41" s="287">
        <v>1099.9999998723827</v>
      </c>
      <c r="H41" s="255">
        <f t="shared" ref="H41" si="337">ROUND(G41*F41,0)</f>
        <v>56573504</v>
      </c>
      <c r="I41" s="328">
        <v>1086.8</v>
      </c>
      <c r="J41" s="248">
        <f t="shared" ref="J41" si="338">ROUND($F41*I41,0)</f>
        <v>55894622</v>
      </c>
      <c r="K41" s="249" t="str">
        <f>+IF(I41&gt;0,IF(OR(I41&gt;$G41),"NO VÁLIDA","VÁLIDA"),"NO VÁLIDA")</f>
        <v>VÁLIDA</v>
      </c>
      <c r="L41" s="290">
        <f>G41</f>
        <v>1099.9999998723827</v>
      </c>
      <c r="M41" s="248">
        <f t="shared" ref="M41" si="339">ROUND($F41*L41,0)</f>
        <v>56573504</v>
      </c>
      <c r="N41" s="249" t="str">
        <f t="shared" ref="N41" si="340">+IF(L41&gt;0,IF(OR(L41&gt;$G41),"NO VÁLIDA","VÁLIDA"),"NO VÁLIDA")</f>
        <v>VÁLIDA</v>
      </c>
      <c r="O41" s="290"/>
      <c r="P41" s="248">
        <f t="shared" ref="P41" si="341">ROUND($F41*O41,0)</f>
        <v>0</v>
      </c>
      <c r="Q41" s="249" t="str">
        <f t="shared" ref="Q41" si="342">+IF(O41&gt;0,IF(OR(O41&gt;$G41),"NO VÁLIDA","VÁLIDA"),"NO VÁLIDA")</f>
        <v>NO VÁLIDA</v>
      </c>
      <c r="R41" s="290">
        <v>1099</v>
      </c>
      <c r="S41" s="248">
        <f t="shared" ref="S41" si="343">ROUND($F41*R41,0)</f>
        <v>56522074</v>
      </c>
      <c r="T41" s="249" t="str">
        <f t="shared" ref="T41" si="344">+IF(R41&gt;0,IF(OR(R41&gt;$G41),"NO VÁLIDA","VÁLIDA"),"NO VÁLIDA")</f>
        <v>VÁLIDA</v>
      </c>
      <c r="U41" s="290">
        <f>G41</f>
        <v>1099.9999998723827</v>
      </c>
      <c r="V41" s="248">
        <f t="shared" ref="V41" si="345">ROUND($F41*U41,0)</f>
        <v>56573504</v>
      </c>
      <c r="W41" s="249" t="str">
        <f t="shared" ref="W41" si="346">+IF(U41&gt;0,IF(OR(U41&gt;$G41),"NO VÁLIDA","VÁLIDA"),"NO VÁLIDA")</f>
        <v>VÁLIDA</v>
      </c>
      <c r="X41" s="290"/>
      <c r="Y41" s="248">
        <f t="shared" ref="Y41" si="347">ROUND($F41*X41,0)</f>
        <v>0</v>
      </c>
      <c r="Z41" s="249" t="str">
        <f t="shared" ref="Z41" si="348">+IF(X41&gt;0,IF(OR(X41&gt;$G41),"NO VÁLIDA","VÁLIDA"),"NO VÁLIDA")</f>
        <v>NO VÁLIDA</v>
      </c>
      <c r="AA41" s="290">
        <v>1086</v>
      </c>
      <c r="AB41" s="248">
        <f t="shared" ref="AB41" si="349">ROUND($F41*AA41,0)</f>
        <v>55853478</v>
      </c>
      <c r="AC41" s="249" t="str">
        <f t="shared" ref="AC41" si="350">+IF(AA41&gt;0,IF(OR(AA41&gt;$G41),"NO VÁLIDA","VÁLIDA"),"NO VÁLIDA")</f>
        <v>VÁLIDA</v>
      </c>
      <c r="AD41" s="290">
        <v>1092</v>
      </c>
      <c r="AE41" s="248">
        <f t="shared" ref="AE41" si="351">ROUND($F41*AD41,0)</f>
        <v>56162060</v>
      </c>
      <c r="AF41" s="249" t="str">
        <f t="shared" ref="AF41" si="352">+IF(AD41&gt;0,IF(OR(AD41&gt;$G41),"NO VÁLIDA","VÁLIDA"),"NO VÁLIDA")</f>
        <v>VÁLIDA</v>
      </c>
      <c r="AG41" s="290"/>
      <c r="AH41" s="248">
        <f t="shared" ref="AH41" si="353">ROUND($F41*AG41,0)</f>
        <v>0</v>
      </c>
      <c r="AI41" s="249" t="str">
        <f t="shared" ref="AI41" si="354">+IF(AG41&gt;0,IF(OR(AG41&gt;$G41),"NO VÁLIDA","VÁLIDA"),"NO VÁLIDA")</f>
        <v>NO VÁLIDA</v>
      </c>
      <c r="AJ41" s="290">
        <v>1085</v>
      </c>
      <c r="AK41" s="248">
        <f t="shared" ref="AK41" si="355">ROUND($F41*AJ41,0)</f>
        <v>55802047</v>
      </c>
      <c r="AL41" s="249" t="str">
        <f t="shared" ref="AL41" si="356">+IF(AJ41&gt;0,IF(OR(AJ41&gt;$G41),"NO VÁLIDA","VÁLIDA"),"NO VÁLIDA")</f>
        <v>VÁLIDA</v>
      </c>
      <c r="AM41" s="290"/>
      <c r="AN41" s="248">
        <f t="shared" ref="AN41" si="357">ROUND($F41*AM41,0)</f>
        <v>0</v>
      </c>
      <c r="AO41" s="249" t="str">
        <f t="shared" ref="AO41" si="358">+IF(AM41&gt;0,IF(OR(AM41&gt;$G41),"NO VÁLIDA","VÁLIDA"),"NO VÁLIDA")</f>
        <v>NO VÁLIDA</v>
      </c>
      <c r="AP41" s="290"/>
      <c r="AQ41" s="248">
        <f t="shared" ref="AQ41" si="359">ROUND($F41*AP41,0)</f>
        <v>0</v>
      </c>
      <c r="AR41" s="249" t="str">
        <f t="shared" ref="AR41" si="360">+IF(AP41&gt;0,IF(OR(AP41&gt;$G41),"NO VÁLIDA","VÁLIDA"),"NO VÁLIDA")</f>
        <v>NO VÁLIDA</v>
      </c>
      <c r="AS41" s="290">
        <f>G41</f>
        <v>1099.9999998723827</v>
      </c>
      <c r="AT41" s="248">
        <f t="shared" ref="AT41" si="361">ROUND($F41*AS41,0)</f>
        <v>56573504</v>
      </c>
      <c r="AU41" s="249" t="str">
        <f t="shared" ref="AU41" si="362">+IF(AS41&gt;0,IF(OR(AS41&gt;$G41),"NO VÁLIDA","VÁLIDA"),"NO VÁLIDA")</f>
        <v>VÁLIDA</v>
      </c>
      <c r="AV41" s="290">
        <f>G41</f>
        <v>1099.9999998723827</v>
      </c>
      <c r="AW41" s="248">
        <f t="shared" ref="AW41" si="363">ROUND($F41*AV41,0)</f>
        <v>56573504</v>
      </c>
      <c r="AX41" s="249" t="str">
        <f t="shared" ref="AX41" si="364">+IF(AV41&gt;0,IF(OR(AV41&gt;$G41),"NO VÁLIDA","VÁLIDA"),"NO VÁLIDA")</f>
        <v>VÁLIDA</v>
      </c>
      <c r="AY41" s="290"/>
      <c r="AZ41" s="248">
        <f t="shared" ref="AZ41" si="365">ROUND($F41*AY41,0)</f>
        <v>0</v>
      </c>
      <c r="BA41" s="249" t="str">
        <f t="shared" ref="BA41" si="366">+IF(AY41&gt;0,IF(OR(AY41&gt;$G41),"NO VÁLIDA","VÁLIDA"),"NO VÁLIDA")</f>
        <v>NO VÁLIDA</v>
      </c>
      <c r="BB41" s="290">
        <v>1061</v>
      </c>
      <c r="BC41" s="248">
        <f t="shared" ref="BC41" si="367">ROUND($F41*BB41,0)</f>
        <v>54567716</v>
      </c>
      <c r="BD41" s="249" t="str">
        <f t="shared" ref="BD41" si="368">+IF(BB41&gt;0,IF(OR(BB41&gt;$G41),"NO VÁLIDA","VÁLIDA"),"NO VÁLIDA")</f>
        <v>VÁLIDA</v>
      </c>
      <c r="BE41" s="290">
        <v>1080</v>
      </c>
      <c r="BF41" s="248">
        <f t="shared" ref="BF41" si="369">ROUND($F41*BE41,0)</f>
        <v>55544895</v>
      </c>
      <c r="BG41" s="249" t="str">
        <f t="shared" ref="BG41" si="370">+IF(BE41&gt;0,IF(OR(BE41&gt;$G41),"NO VÁLIDA","VÁLIDA"),"NO VÁLIDA")</f>
        <v>VÁLIDA</v>
      </c>
      <c r="BH41" s="290">
        <f>G41</f>
        <v>1099.9999998723827</v>
      </c>
      <c r="BI41" s="248">
        <f t="shared" ref="BI41" si="371">ROUND($F41*BH41,0)</f>
        <v>56573504</v>
      </c>
      <c r="BJ41" s="249" t="str">
        <f t="shared" ref="BJ41" si="372">+IF(BH41&gt;0,IF(OR(BH41&gt;$G41),"NO VÁLIDA","VÁLIDA"),"NO VÁLIDA")</f>
        <v>VÁLIDA</v>
      </c>
      <c r="BK41" s="290"/>
      <c r="BL41" s="248">
        <f t="shared" ref="BL41" si="373">ROUND($F41*BK41,0)</f>
        <v>0</v>
      </c>
      <c r="BM41" s="249" t="str">
        <f t="shared" ref="BM41" si="374">+IF(BK41&gt;0,IF(OR(BK41&gt;$G41),"NO VÁLIDA","VÁLIDA"),"NO VÁLIDA")</f>
        <v>NO VÁLIDA</v>
      </c>
      <c r="BN41" s="290">
        <f>G41</f>
        <v>1099.9999998723827</v>
      </c>
      <c r="BO41" s="248">
        <f t="shared" ref="BO41" si="375">ROUND($F41*BN41,0)</f>
        <v>56573504</v>
      </c>
      <c r="BP41" s="249" t="str">
        <f t="shared" ref="BP41" si="376">+IF(BN41&gt;0,IF(OR(BN41&gt;$G41),"NO VÁLIDA","VÁLIDA"),"NO VÁLIDA")</f>
        <v>VÁLIDA</v>
      </c>
      <c r="BQ41" s="290">
        <v>1098</v>
      </c>
      <c r="BR41" s="248">
        <f t="shared" ref="BR41" si="377">ROUND($F41*BQ41,0)</f>
        <v>56470643</v>
      </c>
      <c r="BS41" s="249" t="str">
        <f t="shared" ref="BS41" si="378">+IF(BQ41&gt;0,IF(OR(BQ41&gt;$G41),"NO VÁLIDA","VÁLIDA"),"NO VÁLIDA")</f>
        <v>VÁLIDA</v>
      </c>
    </row>
    <row r="42" spans="1:72" s="40" customFormat="1" ht="32.25" customHeight="1" x14ac:dyDescent="0.2">
      <c r="A42" s="39"/>
      <c r="B42" s="262"/>
      <c r="C42" s="263"/>
      <c r="D42" s="264"/>
      <c r="E42" s="263"/>
      <c r="F42" s="265"/>
      <c r="G42" s="265" t="s">
        <v>167</v>
      </c>
      <c r="H42" s="266">
        <f>ROUND(SUM(H14,H18,H22,H26,H37,H40),0)</f>
        <v>2626753212</v>
      </c>
      <c r="I42" s="173"/>
      <c r="J42" s="281">
        <f>ROUND(SUM(J14,J18,J22,J26,J37,J40),0)</f>
        <v>2601084635</v>
      </c>
      <c r="K42" s="176"/>
      <c r="L42" s="173"/>
      <c r="M42" s="281">
        <f t="shared" ref="M42" si="379">ROUND(SUM(M14,M18,M22,M26,M37,M40),0)</f>
        <v>2561037953</v>
      </c>
      <c r="N42" s="176"/>
      <c r="O42" s="173"/>
      <c r="P42" s="281">
        <f t="shared" ref="P42" si="380">ROUND(SUM(P14,P18,P22,P26,P37,P40),0)</f>
        <v>0</v>
      </c>
      <c r="Q42" s="176"/>
      <c r="R42" s="173"/>
      <c r="S42" s="281">
        <f t="shared" ref="S42" si="381">ROUND(SUM(S14,S18,S22,S26,S37,S40),0)</f>
        <v>2626574369</v>
      </c>
      <c r="T42" s="176"/>
      <c r="U42" s="173"/>
      <c r="V42" s="281">
        <f t="shared" ref="V42" si="382">ROUND(SUM(V14,V18,V22,V26,V37,V40),0)</f>
        <v>2500743153</v>
      </c>
      <c r="W42" s="176"/>
      <c r="X42" s="173"/>
      <c r="Y42" s="281">
        <f t="shared" ref="Y42" si="383">ROUND(SUM(Y14,Y18,Y22,Y26,Y37,Y40),0)</f>
        <v>0</v>
      </c>
      <c r="Z42" s="176"/>
      <c r="AA42" s="173"/>
      <c r="AB42" s="281">
        <f t="shared" ref="AB42" si="384">ROUND(SUM(AB14,AB18,AB22,AB26,AB37,AB40),0)</f>
        <v>2592591060</v>
      </c>
      <c r="AC42" s="176"/>
      <c r="AD42" s="173"/>
      <c r="AE42" s="281">
        <f t="shared" ref="AE42" si="385">ROUND(SUM(AE14,AE18,AE22,AE26,AE37,AE40),0)</f>
        <v>2608310667</v>
      </c>
      <c r="AF42" s="176"/>
      <c r="AG42" s="173"/>
      <c r="AH42" s="281">
        <f t="shared" ref="AH42" si="386">ROUND(SUM(AH14,AH18,AH22,AH26,AH37,AH40),0)</f>
        <v>0</v>
      </c>
      <c r="AI42" s="176"/>
      <c r="AJ42" s="173"/>
      <c r="AK42" s="281">
        <f t="shared" ref="AK42" si="387">ROUND(SUM(AK14,AK18,AK22,AK26,AK37,AK40),0)</f>
        <v>2591791033</v>
      </c>
      <c r="AL42" s="176"/>
      <c r="AM42" s="173"/>
      <c r="AN42" s="281">
        <f t="shared" ref="AN42" si="388">ROUND(SUM(AN14,AN18,AN22,AN26,AN37,AN40),0)</f>
        <v>0</v>
      </c>
      <c r="AO42" s="176"/>
      <c r="AP42" s="173"/>
      <c r="AQ42" s="281">
        <f t="shared" ref="AQ42" si="389">ROUND(SUM(AQ14,AQ18,AQ22,AQ26,AQ37,AQ40),0)</f>
        <v>0</v>
      </c>
      <c r="AR42" s="176"/>
      <c r="AS42" s="173"/>
      <c r="AT42" s="281">
        <f t="shared" ref="AT42" si="390">ROUND(SUM(AT14,AT18,AT22,AT26,AT37,AT40),0)</f>
        <v>2613642478</v>
      </c>
      <c r="AU42" s="176"/>
      <c r="AV42" s="173"/>
      <c r="AW42" s="281">
        <f t="shared" ref="AW42" si="391">ROUND(SUM(AW14,AW18,AW22,AW26,AW37,AW40),0)</f>
        <v>2577715921</v>
      </c>
      <c r="AX42" s="176"/>
      <c r="AY42" s="173"/>
      <c r="AZ42" s="281">
        <f t="shared" ref="AZ42" si="392">ROUND(SUM(AZ14,AZ18,AZ22,AZ26,AZ37,AZ40),0)</f>
        <v>0</v>
      </c>
      <c r="BA42" s="176"/>
      <c r="BB42" s="173"/>
      <c r="BC42" s="281">
        <f t="shared" ref="BC42" si="393">ROUND(SUM(BC14,BC18,BC22,BC26,BC37,BC40),0)</f>
        <v>2584095758</v>
      </c>
      <c r="BD42" s="176"/>
      <c r="BE42" s="173"/>
      <c r="BF42" s="281">
        <f t="shared" ref="BF42" si="394">ROUND(SUM(BF14,BF18,BF22,BF26,BF37,BF40),0)</f>
        <v>2603698995</v>
      </c>
      <c r="BG42" s="176"/>
      <c r="BH42" s="173"/>
      <c r="BI42" s="281">
        <f t="shared" ref="BI42" si="395">ROUND(SUM(BI14,BI18,BI22,BI26,BI37,BI40),0)</f>
        <v>2584706910</v>
      </c>
      <c r="BJ42" s="176"/>
      <c r="BK42" s="173"/>
      <c r="BL42" s="281">
        <f t="shared" ref="BL42" si="396">ROUND(SUM(BL14,BL18,BL22,BL26,BL37,BL40),0)</f>
        <v>0</v>
      </c>
      <c r="BM42" s="176"/>
      <c r="BN42" s="173"/>
      <c r="BO42" s="281">
        <f t="shared" ref="BO42" si="397">ROUND(SUM(BO14,BO18,BO22,BO26,BO37,BO40),0)</f>
        <v>2619762764</v>
      </c>
      <c r="BP42" s="176"/>
      <c r="BQ42" s="173"/>
      <c r="BR42" s="281">
        <f t="shared" ref="BR42" si="398">ROUND(SUM(BR14,BR18,BR22,BR26,BR37,BR40),0)</f>
        <v>2580890500</v>
      </c>
      <c r="BS42" s="176"/>
      <c r="BT42"/>
    </row>
    <row r="43" spans="1:72" s="40" customFormat="1" ht="32.25" customHeight="1" x14ac:dyDescent="0.2">
      <c r="A43" s="39"/>
      <c r="B43" s="366" t="s">
        <v>168</v>
      </c>
      <c r="C43" s="367"/>
      <c r="D43" s="367"/>
      <c r="E43" s="367"/>
      <c r="F43" s="368"/>
      <c r="G43" s="272">
        <v>0.22</v>
      </c>
      <c r="H43" s="247">
        <f>ROUND($H$42*G43,0)</f>
        <v>577885707</v>
      </c>
      <c r="I43" s="291">
        <v>0.22</v>
      </c>
      <c r="J43" s="247">
        <f>ROUND(J42*I43,0)</f>
        <v>572238620</v>
      </c>
      <c r="K43" s="174"/>
      <c r="L43" s="291">
        <v>0.22</v>
      </c>
      <c r="M43" s="247">
        <f t="shared" ref="M43" si="399">ROUND(M42*L43,0)</f>
        <v>563428350</v>
      </c>
      <c r="N43" s="174"/>
      <c r="O43" s="291"/>
      <c r="P43" s="247">
        <f t="shared" ref="P43" si="400">ROUND(P42*O43,0)</f>
        <v>0</v>
      </c>
      <c r="Q43" s="174"/>
      <c r="R43" s="291">
        <v>0.22</v>
      </c>
      <c r="S43" s="247">
        <f t="shared" ref="S43" si="401">ROUND(S42*R43,0)</f>
        <v>577846361</v>
      </c>
      <c r="T43" s="174"/>
      <c r="U43" s="291">
        <v>0.22</v>
      </c>
      <c r="V43" s="247">
        <f t="shared" ref="V43" si="402">ROUND(V42*U43,0)</f>
        <v>550163494</v>
      </c>
      <c r="W43" s="174"/>
      <c r="X43" s="291"/>
      <c r="Y43" s="247">
        <f t="shared" ref="Y43" si="403">ROUND(Y42*X43,0)</f>
        <v>0</v>
      </c>
      <c r="Z43" s="174"/>
      <c r="AA43" s="291">
        <v>0.22</v>
      </c>
      <c r="AB43" s="247">
        <f t="shared" ref="AB43" si="404">ROUND(AB42*AA43,0)</f>
        <v>570370033</v>
      </c>
      <c r="AC43" s="174"/>
      <c r="AD43" s="291">
        <v>0.22</v>
      </c>
      <c r="AE43" s="247">
        <f t="shared" ref="AE43" si="405">ROUND(AE42*AD43,0)</f>
        <v>573828347</v>
      </c>
      <c r="AF43" s="174"/>
      <c r="AG43" s="291"/>
      <c r="AH43" s="247">
        <f t="shared" ref="AH43" si="406">ROUND(AH42*AG43,0)</f>
        <v>0</v>
      </c>
      <c r="AI43" s="174"/>
      <c r="AJ43" s="291">
        <v>0.22</v>
      </c>
      <c r="AK43" s="247">
        <f t="shared" ref="AK43" si="407">ROUND(AK42*AJ43,0)</f>
        <v>570194027</v>
      </c>
      <c r="AL43" s="174"/>
      <c r="AM43" s="291"/>
      <c r="AN43" s="247">
        <f t="shared" ref="AN43" si="408">ROUND(AN42*AM43,0)</f>
        <v>0</v>
      </c>
      <c r="AO43" s="174"/>
      <c r="AP43" s="291"/>
      <c r="AQ43" s="247">
        <f t="shared" ref="AQ43" si="409">ROUND(AQ42*AP43,0)</f>
        <v>0</v>
      </c>
      <c r="AR43" s="174"/>
      <c r="AS43" s="291">
        <v>0.23</v>
      </c>
      <c r="AT43" s="247">
        <f t="shared" ref="AT43" si="410">ROUND(AT42*AS43,0)</f>
        <v>601137770</v>
      </c>
      <c r="AU43" s="174"/>
      <c r="AV43" s="291">
        <v>0.22</v>
      </c>
      <c r="AW43" s="247">
        <f t="shared" ref="AW43" si="411">ROUND(AW42*AV43,0)</f>
        <v>567097503</v>
      </c>
      <c r="AX43" s="174"/>
      <c r="AY43" s="291"/>
      <c r="AZ43" s="247">
        <f t="shared" ref="AZ43" si="412">ROUND(AZ42*AY43,0)</f>
        <v>0</v>
      </c>
      <c r="BA43" s="174"/>
      <c r="BB43" s="291">
        <v>0.22</v>
      </c>
      <c r="BC43" s="247">
        <f t="shared" ref="BC43" si="413">ROUND(BC42*BB43,0)</f>
        <v>568501067</v>
      </c>
      <c r="BD43" s="174"/>
      <c r="BE43" s="291">
        <v>0.22</v>
      </c>
      <c r="BF43" s="247">
        <f t="shared" ref="BF43" si="414">ROUND(BF42*BE43,0)</f>
        <v>572813779</v>
      </c>
      <c r="BG43" s="174"/>
      <c r="BH43" s="291">
        <v>0.22</v>
      </c>
      <c r="BI43" s="247">
        <f t="shared" ref="BI43" si="415">ROUND(BI42*BH43,0)</f>
        <v>568635520</v>
      </c>
      <c r="BJ43" s="174"/>
      <c r="BK43" s="291"/>
      <c r="BL43" s="247">
        <f t="shared" ref="BL43" si="416">ROUND(BL42*BK43,0)</f>
        <v>0</v>
      </c>
      <c r="BM43" s="174"/>
      <c r="BN43" s="291">
        <v>0.22</v>
      </c>
      <c r="BO43" s="247">
        <f t="shared" ref="BO43" si="417">ROUND(BO42*BN43,0)</f>
        <v>576347808</v>
      </c>
      <c r="BP43" s="174"/>
      <c r="BQ43" s="291">
        <v>0.22</v>
      </c>
      <c r="BR43" s="247">
        <f t="shared" ref="BR43" si="418">ROUND(BR42*BQ43,0)</f>
        <v>567795910</v>
      </c>
      <c r="BS43" s="174"/>
      <c r="BT43"/>
    </row>
    <row r="44" spans="1:72" s="40" customFormat="1" ht="32.25" customHeight="1" x14ac:dyDescent="0.2">
      <c r="A44" s="39"/>
      <c r="B44" s="366" t="s">
        <v>93</v>
      </c>
      <c r="C44" s="367"/>
      <c r="D44" s="367"/>
      <c r="E44" s="367"/>
      <c r="F44" s="368"/>
      <c r="G44" s="272">
        <v>0.05</v>
      </c>
      <c r="H44" s="247">
        <f t="shared" ref="H44" si="419">ROUND($H$42*G44,0)</f>
        <v>131337661</v>
      </c>
      <c r="I44" s="292">
        <v>0.05</v>
      </c>
      <c r="J44" s="247">
        <f>ROUND(J42*I44,0)</f>
        <v>130054232</v>
      </c>
      <c r="K44" s="175"/>
      <c r="L44" s="292">
        <v>0.05</v>
      </c>
      <c r="M44" s="247">
        <f t="shared" ref="M44" si="420">ROUND(M42*L44,0)</f>
        <v>128051898</v>
      </c>
      <c r="N44" s="175"/>
      <c r="O44" s="292"/>
      <c r="P44" s="247">
        <f t="shared" ref="P44" si="421">ROUND(P42*O44,0)</f>
        <v>0</v>
      </c>
      <c r="Q44" s="175"/>
      <c r="R44" s="292">
        <v>0.05</v>
      </c>
      <c r="S44" s="247">
        <f t="shared" ref="S44" si="422">ROUND(S42*R44,0)</f>
        <v>131328718</v>
      </c>
      <c r="T44" s="175"/>
      <c r="U44" s="292">
        <v>0.05</v>
      </c>
      <c r="V44" s="247">
        <f t="shared" ref="V44" si="423">ROUND(V42*U44,0)</f>
        <v>125037158</v>
      </c>
      <c r="W44" s="175"/>
      <c r="X44" s="292"/>
      <c r="Y44" s="247">
        <f t="shared" ref="Y44" si="424">ROUND(Y42*X44,0)</f>
        <v>0</v>
      </c>
      <c r="Z44" s="175"/>
      <c r="AA44" s="292">
        <v>0.05</v>
      </c>
      <c r="AB44" s="247">
        <f t="shared" ref="AB44" si="425">ROUND(AB42*AA44,0)</f>
        <v>129629553</v>
      </c>
      <c r="AC44" s="175"/>
      <c r="AD44" s="292">
        <v>0.05</v>
      </c>
      <c r="AE44" s="247">
        <f t="shared" ref="AE44" si="426">ROUND(AE42*AD44,0)</f>
        <v>130415533</v>
      </c>
      <c r="AF44" s="175"/>
      <c r="AG44" s="292"/>
      <c r="AH44" s="247">
        <f t="shared" ref="AH44" si="427">ROUND(AH42*AG44,0)</f>
        <v>0</v>
      </c>
      <c r="AI44" s="175"/>
      <c r="AJ44" s="292">
        <v>0.05</v>
      </c>
      <c r="AK44" s="247">
        <f t="shared" ref="AK44" si="428">ROUND(AK42*AJ44,0)</f>
        <v>129589552</v>
      </c>
      <c r="AL44" s="175"/>
      <c r="AM44" s="292"/>
      <c r="AN44" s="247">
        <f t="shared" ref="AN44" si="429">ROUND(AN42*AM44,0)</f>
        <v>0</v>
      </c>
      <c r="AO44" s="175"/>
      <c r="AP44" s="292"/>
      <c r="AQ44" s="247">
        <f t="shared" ref="AQ44" si="430">ROUND(AQ42*AP44,0)</f>
        <v>0</v>
      </c>
      <c r="AR44" s="175"/>
      <c r="AS44" s="292">
        <v>0.04</v>
      </c>
      <c r="AT44" s="247">
        <f t="shared" ref="AT44" si="431">ROUND(AT42*AS44,0)</f>
        <v>104545699</v>
      </c>
      <c r="AU44" s="175"/>
      <c r="AV44" s="292">
        <v>0.05</v>
      </c>
      <c r="AW44" s="247">
        <f t="shared" ref="AW44" si="432">ROUND(AW42*AV44,0)</f>
        <v>128885796</v>
      </c>
      <c r="AX44" s="175"/>
      <c r="AY44" s="292"/>
      <c r="AZ44" s="247">
        <f t="shared" ref="AZ44" si="433">ROUND(AZ42*AY44,0)</f>
        <v>0</v>
      </c>
      <c r="BA44" s="175"/>
      <c r="BB44" s="292">
        <v>0.05</v>
      </c>
      <c r="BC44" s="247">
        <f t="shared" ref="BC44" si="434">ROUND(BC42*BB44,0)</f>
        <v>129204788</v>
      </c>
      <c r="BD44" s="175"/>
      <c r="BE44" s="292">
        <v>0.05</v>
      </c>
      <c r="BF44" s="247">
        <f t="shared" ref="BF44" si="435">ROUND(BF42*BE44,0)</f>
        <v>130184950</v>
      </c>
      <c r="BG44" s="175"/>
      <c r="BH44" s="292">
        <v>0.05</v>
      </c>
      <c r="BI44" s="247">
        <f t="shared" ref="BI44" si="436">ROUND(BI42*BH44,0)</f>
        <v>129235346</v>
      </c>
      <c r="BJ44" s="175"/>
      <c r="BK44" s="292"/>
      <c r="BL44" s="247">
        <f t="shared" ref="BL44" si="437">ROUND(BL42*BK44,0)</f>
        <v>0</v>
      </c>
      <c r="BM44" s="175"/>
      <c r="BN44" s="292">
        <v>0.05</v>
      </c>
      <c r="BO44" s="247">
        <f t="shared" ref="BO44" si="438">ROUND(BO42*BN44,0)</f>
        <v>130988138</v>
      </c>
      <c r="BP44" s="175"/>
      <c r="BQ44" s="292">
        <v>0.05</v>
      </c>
      <c r="BR44" s="247">
        <f t="shared" ref="BR44" si="439">ROUND(BR42*BQ44,0)</f>
        <v>129044525</v>
      </c>
      <c r="BS44" s="175"/>
      <c r="BT44"/>
    </row>
    <row r="45" spans="1:72" s="40" customFormat="1" ht="32.25" customHeight="1" x14ac:dyDescent="0.2">
      <c r="A45" s="39"/>
      <c r="B45" s="386" t="s">
        <v>112</v>
      </c>
      <c r="C45" s="387"/>
      <c r="D45" s="387"/>
      <c r="E45" s="387"/>
      <c r="F45" s="388"/>
      <c r="G45" s="273">
        <f>SUM(G43:G44)</f>
        <v>0.27</v>
      </c>
      <c r="H45" s="274">
        <f>SUM(H43:H44)</f>
        <v>709223368</v>
      </c>
      <c r="I45" s="280">
        <f>SUM(I43:I44)</f>
        <v>0.27</v>
      </c>
      <c r="J45" s="274">
        <f>SUM(J43:J44)</f>
        <v>702292852</v>
      </c>
      <c r="K45" s="172" t="str">
        <f>IF(OR(J45&lt;0.9*$H45,J45&gt;1.1*$H45),"NO VÁLIDA","VÁLIDA")</f>
        <v>VÁLIDA</v>
      </c>
      <c r="L45" s="280">
        <f t="shared" ref="L45:M45" si="440">SUM(L43:L44)</f>
        <v>0.27</v>
      </c>
      <c r="M45" s="274">
        <f t="shared" si="440"/>
        <v>691480248</v>
      </c>
      <c r="N45" s="172" t="str">
        <f t="shared" ref="N45" si="441">IF(OR(M45&lt;0.9*$H45,M45&gt;1.1*$H45),"NO VÁLIDA","VÁLIDA")</f>
        <v>VÁLIDA</v>
      </c>
      <c r="O45" s="280">
        <f t="shared" ref="O45:P45" si="442">SUM(O43:O44)</f>
        <v>0</v>
      </c>
      <c r="P45" s="274">
        <f t="shared" si="442"/>
        <v>0</v>
      </c>
      <c r="Q45" s="172" t="str">
        <f t="shared" ref="Q45" si="443">IF(OR(P45&lt;0.9*$H45,P45&gt;1.1*$H45),"NO VÁLIDA","VÁLIDA")</f>
        <v>NO VÁLIDA</v>
      </c>
      <c r="R45" s="280">
        <f t="shared" ref="R45:S45" si="444">SUM(R43:R44)</f>
        <v>0.27</v>
      </c>
      <c r="S45" s="274">
        <f t="shared" si="444"/>
        <v>709175079</v>
      </c>
      <c r="T45" s="172" t="str">
        <f t="shared" ref="T45" si="445">IF(OR(S45&lt;0.9*$H45,S45&gt;1.1*$H45),"NO VÁLIDA","VÁLIDA")</f>
        <v>VÁLIDA</v>
      </c>
      <c r="U45" s="280">
        <f t="shared" ref="U45:V45" si="446">SUM(U43:U44)</f>
        <v>0.27</v>
      </c>
      <c r="V45" s="274">
        <f t="shared" si="446"/>
        <v>675200652</v>
      </c>
      <c r="W45" s="172" t="str">
        <f t="shared" ref="W45" si="447">IF(OR(V45&lt;0.9*$H45,V45&gt;1.1*$H45),"NO VÁLIDA","VÁLIDA")</f>
        <v>VÁLIDA</v>
      </c>
      <c r="X45" s="280">
        <f t="shared" ref="X45:Y45" si="448">SUM(X43:X44)</f>
        <v>0</v>
      </c>
      <c r="Y45" s="274">
        <f t="shared" si="448"/>
        <v>0</v>
      </c>
      <c r="Z45" s="172" t="str">
        <f t="shared" ref="Z45" si="449">IF(OR(Y45&lt;0.9*$H45,Y45&gt;1.1*$H45),"NO VÁLIDA","VÁLIDA")</f>
        <v>NO VÁLIDA</v>
      </c>
      <c r="AA45" s="280">
        <f t="shared" ref="AA45:AB45" si="450">SUM(AA43:AA44)</f>
        <v>0.27</v>
      </c>
      <c r="AB45" s="274">
        <f t="shared" si="450"/>
        <v>699999586</v>
      </c>
      <c r="AC45" s="172" t="str">
        <f t="shared" ref="AC45" si="451">IF(OR(AB45&lt;0.9*$H45,AB45&gt;1.1*$H45),"NO VÁLIDA","VÁLIDA")</f>
        <v>VÁLIDA</v>
      </c>
      <c r="AD45" s="280">
        <f t="shared" ref="AD45:AE45" si="452">SUM(AD43:AD44)</f>
        <v>0.27</v>
      </c>
      <c r="AE45" s="274">
        <f t="shared" si="452"/>
        <v>704243880</v>
      </c>
      <c r="AF45" s="172" t="str">
        <f t="shared" ref="AF45" si="453">IF(OR(AE45&lt;0.9*$H45,AE45&gt;1.1*$H45),"NO VÁLIDA","VÁLIDA")</f>
        <v>VÁLIDA</v>
      </c>
      <c r="AG45" s="280">
        <f t="shared" ref="AG45:AH45" si="454">SUM(AG43:AG44)</f>
        <v>0</v>
      </c>
      <c r="AH45" s="274">
        <f t="shared" si="454"/>
        <v>0</v>
      </c>
      <c r="AI45" s="172" t="str">
        <f t="shared" ref="AI45" si="455">IF(OR(AH45&lt;0.9*$H45,AH45&gt;1.1*$H45),"NO VÁLIDA","VÁLIDA")</f>
        <v>NO VÁLIDA</v>
      </c>
      <c r="AJ45" s="280">
        <f t="shared" ref="AJ45:AK45" si="456">SUM(AJ43:AJ44)</f>
        <v>0.27</v>
      </c>
      <c r="AK45" s="274">
        <f t="shared" si="456"/>
        <v>699783579</v>
      </c>
      <c r="AL45" s="172" t="str">
        <f t="shared" ref="AL45" si="457">IF(OR(AK45&lt;0.9*$H45,AK45&gt;1.1*$H45),"NO VÁLIDA","VÁLIDA")</f>
        <v>VÁLIDA</v>
      </c>
      <c r="AM45" s="280">
        <f t="shared" ref="AM45:AN45" si="458">SUM(AM43:AM44)</f>
        <v>0</v>
      </c>
      <c r="AN45" s="274">
        <f t="shared" si="458"/>
        <v>0</v>
      </c>
      <c r="AO45" s="172" t="str">
        <f t="shared" ref="AO45" si="459">IF(OR(AN45&lt;0.9*$H45,AN45&gt;1.1*$H45),"NO VÁLIDA","VÁLIDA")</f>
        <v>NO VÁLIDA</v>
      </c>
      <c r="AP45" s="280">
        <f t="shared" ref="AP45:AQ45" si="460">SUM(AP43:AP44)</f>
        <v>0</v>
      </c>
      <c r="AQ45" s="274">
        <f t="shared" si="460"/>
        <v>0</v>
      </c>
      <c r="AR45" s="172" t="str">
        <f t="shared" ref="AR45" si="461">IF(OR(AQ45&lt;0.9*$H45,AQ45&gt;1.1*$H45),"NO VÁLIDA","VÁLIDA")</f>
        <v>NO VÁLIDA</v>
      </c>
      <c r="AS45" s="280">
        <f t="shared" ref="AS45:AT45" si="462">SUM(AS43:AS44)</f>
        <v>0.27</v>
      </c>
      <c r="AT45" s="274">
        <f t="shared" si="462"/>
        <v>705683469</v>
      </c>
      <c r="AU45" s="172" t="str">
        <f t="shared" ref="AU45" si="463">IF(OR(AT45&lt;0.9*$H45,AT45&gt;1.1*$H45),"NO VÁLIDA","VÁLIDA")</f>
        <v>VÁLIDA</v>
      </c>
      <c r="AV45" s="280">
        <f t="shared" ref="AV45:AW45" si="464">SUM(AV43:AV44)</f>
        <v>0.27</v>
      </c>
      <c r="AW45" s="274">
        <f t="shared" si="464"/>
        <v>695983299</v>
      </c>
      <c r="AX45" s="172" t="str">
        <f t="shared" ref="AX45" si="465">IF(OR(AW45&lt;0.9*$H45,AW45&gt;1.1*$H45),"NO VÁLIDA","VÁLIDA")</f>
        <v>VÁLIDA</v>
      </c>
      <c r="AY45" s="280">
        <f t="shared" ref="AY45:AZ45" si="466">SUM(AY43:AY44)</f>
        <v>0</v>
      </c>
      <c r="AZ45" s="274">
        <f t="shared" si="466"/>
        <v>0</v>
      </c>
      <c r="BA45" s="172" t="str">
        <f t="shared" ref="BA45" si="467">IF(OR(AZ45&lt;0.9*$H45,AZ45&gt;1.1*$H45),"NO VÁLIDA","VÁLIDA")</f>
        <v>NO VÁLIDA</v>
      </c>
      <c r="BB45" s="280">
        <f t="shared" ref="BB45:BC45" si="468">SUM(BB43:BB44)</f>
        <v>0.27</v>
      </c>
      <c r="BC45" s="274">
        <f t="shared" si="468"/>
        <v>697705855</v>
      </c>
      <c r="BD45" s="172" t="str">
        <f t="shared" ref="BD45" si="469">IF(OR(BC45&lt;0.9*$H45,BC45&gt;1.1*$H45),"NO VÁLIDA","VÁLIDA")</f>
        <v>VÁLIDA</v>
      </c>
      <c r="BE45" s="280">
        <f t="shared" ref="BE45:BF45" si="470">SUM(BE43:BE44)</f>
        <v>0.27</v>
      </c>
      <c r="BF45" s="274">
        <f t="shared" si="470"/>
        <v>702998729</v>
      </c>
      <c r="BG45" s="172" t="str">
        <f t="shared" ref="BG45" si="471">IF(OR(BF45&lt;0.9*$H45,BF45&gt;1.1*$H45),"NO VÁLIDA","VÁLIDA")</f>
        <v>VÁLIDA</v>
      </c>
      <c r="BH45" s="280">
        <f t="shared" ref="BH45:BI45" si="472">SUM(BH43:BH44)</f>
        <v>0.27</v>
      </c>
      <c r="BI45" s="274">
        <f t="shared" si="472"/>
        <v>697870866</v>
      </c>
      <c r="BJ45" s="172" t="str">
        <f t="shared" ref="BJ45" si="473">IF(OR(BI45&lt;0.9*$H45,BI45&gt;1.1*$H45),"NO VÁLIDA","VÁLIDA")</f>
        <v>VÁLIDA</v>
      </c>
      <c r="BK45" s="280">
        <f t="shared" ref="BK45:BL45" si="474">SUM(BK43:BK44)</f>
        <v>0</v>
      </c>
      <c r="BL45" s="274">
        <f t="shared" si="474"/>
        <v>0</v>
      </c>
      <c r="BM45" s="172" t="str">
        <f t="shared" ref="BM45" si="475">IF(OR(BL45&lt;0.9*$H45,BL45&gt;1.1*$H45),"NO VÁLIDA","VÁLIDA")</f>
        <v>NO VÁLIDA</v>
      </c>
      <c r="BN45" s="280">
        <f t="shared" ref="BN45:BO45" si="476">SUM(BN43:BN44)</f>
        <v>0.27</v>
      </c>
      <c r="BO45" s="274">
        <f t="shared" si="476"/>
        <v>707335946</v>
      </c>
      <c r="BP45" s="172" t="str">
        <f t="shared" ref="BP45" si="477">IF(OR(BO45&lt;0.9*$H45,BO45&gt;1.1*$H45),"NO VÁLIDA","VÁLIDA")</f>
        <v>VÁLIDA</v>
      </c>
      <c r="BQ45" s="280">
        <f t="shared" ref="BQ45:BR45" si="478">SUM(BQ43:BQ44)</f>
        <v>0.27</v>
      </c>
      <c r="BR45" s="274">
        <f t="shared" si="478"/>
        <v>696840435</v>
      </c>
      <c r="BS45" s="172" t="str">
        <f t="shared" ref="BS45" si="479">IF(OR(BR45&lt;0.9*$H45,BR45&gt;1.1*$H45),"NO VÁLIDA","VÁLIDA")</f>
        <v>VÁLIDA</v>
      </c>
      <c r="BT45"/>
    </row>
    <row r="46" spans="1:72" s="40" customFormat="1" ht="32.25" customHeight="1" x14ac:dyDescent="0.2">
      <c r="A46" s="39"/>
      <c r="B46" s="268"/>
      <c r="C46" s="269"/>
      <c r="D46" s="270"/>
      <c r="E46" s="269"/>
      <c r="F46" s="271"/>
      <c r="G46" s="271" t="s">
        <v>169</v>
      </c>
      <c r="H46" s="267">
        <f>ROUND(SUM(H42,H45),0)</f>
        <v>3335976580</v>
      </c>
      <c r="I46" s="173"/>
      <c r="J46" s="282">
        <f>ROUND(SUM(J42,J45),0)</f>
        <v>3303377487</v>
      </c>
      <c r="K46" s="176"/>
      <c r="L46" s="173"/>
      <c r="M46" s="282">
        <f t="shared" ref="M46" si="480">ROUND(SUM(M42,M45),0)</f>
        <v>3252518201</v>
      </c>
      <c r="N46" s="176"/>
      <c r="O46" s="173"/>
      <c r="P46" s="282">
        <f t="shared" ref="P46" si="481">ROUND(SUM(P42,P45),0)</f>
        <v>0</v>
      </c>
      <c r="Q46" s="176"/>
      <c r="R46" s="173"/>
      <c r="S46" s="282">
        <f t="shared" ref="S46" si="482">ROUND(SUM(S42,S45),0)</f>
        <v>3335749448</v>
      </c>
      <c r="T46" s="176"/>
      <c r="U46" s="173"/>
      <c r="V46" s="282">
        <f t="shared" ref="V46" si="483">ROUND(SUM(V42,V45),0)</f>
        <v>3175943805</v>
      </c>
      <c r="W46" s="176"/>
      <c r="X46" s="173"/>
      <c r="Y46" s="282">
        <f t="shared" ref="Y46" si="484">ROUND(SUM(Y42,Y45),0)</f>
        <v>0</v>
      </c>
      <c r="Z46" s="176"/>
      <c r="AA46" s="173"/>
      <c r="AB46" s="282">
        <f t="shared" ref="AB46" si="485">ROUND(SUM(AB42,AB45),0)</f>
        <v>3292590646</v>
      </c>
      <c r="AC46" s="176"/>
      <c r="AD46" s="173"/>
      <c r="AE46" s="282">
        <f t="shared" ref="AE46" si="486">ROUND(SUM(AE42,AE45),0)</f>
        <v>3312554547</v>
      </c>
      <c r="AF46" s="176"/>
      <c r="AG46" s="173"/>
      <c r="AH46" s="282">
        <f t="shared" ref="AH46" si="487">ROUND(SUM(AH42,AH45),0)</f>
        <v>0</v>
      </c>
      <c r="AI46" s="176"/>
      <c r="AJ46" s="173"/>
      <c r="AK46" s="282">
        <f t="shared" ref="AK46" si="488">ROUND(SUM(AK42,AK45),0)</f>
        <v>3291574612</v>
      </c>
      <c r="AL46" s="176"/>
      <c r="AM46" s="173"/>
      <c r="AN46" s="282">
        <f t="shared" ref="AN46" si="489">ROUND(SUM(AN42,AN45),0)</f>
        <v>0</v>
      </c>
      <c r="AO46" s="176"/>
      <c r="AP46" s="173"/>
      <c r="AQ46" s="282">
        <f t="shared" ref="AQ46" si="490">ROUND(SUM(AQ42,AQ45),0)</f>
        <v>0</v>
      </c>
      <c r="AR46" s="176"/>
      <c r="AS46" s="173"/>
      <c r="AT46" s="282">
        <f t="shared" ref="AT46" si="491">ROUND(SUM(AT42,AT45),0)</f>
        <v>3319325947</v>
      </c>
      <c r="AU46" s="176"/>
      <c r="AV46" s="173"/>
      <c r="AW46" s="282">
        <f t="shared" ref="AW46" si="492">ROUND(SUM(AW42,AW45),0)</f>
        <v>3273699220</v>
      </c>
      <c r="AX46" s="176"/>
      <c r="AY46" s="173"/>
      <c r="AZ46" s="282">
        <f t="shared" ref="AZ46" si="493">ROUND(SUM(AZ42,AZ45),0)</f>
        <v>0</v>
      </c>
      <c r="BA46" s="176"/>
      <c r="BB46" s="173"/>
      <c r="BC46" s="282">
        <f t="shared" ref="BC46" si="494">ROUND(SUM(BC42,BC45),0)</f>
        <v>3281801613</v>
      </c>
      <c r="BD46" s="176"/>
      <c r="BE46" s="173"/>
      <c r="BF46" s="282">
        <f t="shared" ref="BF46" si="495">ROUND(SUM(BF42,BF45),0)</f>
        <v>3306697724</v>
      </c>
      <c r="BG46" s="176"/>
      <c r="BH46" s="173"/>
      <c r="BI46" s="282">
        <f t="shared" ref="BI46" si="496">ROUND(SUM(BI42,BI45),0)</f>
        <v>3282577776</v>
      </c>
      <c r="BJ46" s="176"/>
      <c r="BK46" s="173"/>
      <c r="BL46" s="282">
        <f t="shared" ref="BL46" si="497">ROUND(SUM(BL42,BL45),0)</f>
        <v>0</v>
      </c>
      <c r="BM46" s="176"/>
      <c r="BN46" s="173"/>
      <c r="BO46" s="282">
        <f t="shared" ref="BO46" si="498">ROUND(SUM(BO42,BO45),0)</f>
        <v>3327098710</v>
      </c>
      <c r="BP46" s="176"/>
      <c r="BQ46" s="173"/>
      <c r="BR46" s="282">
        <f t="shared" ref="BR46" si="499">ROUND(SUM(BR42,BR45),0)</f>
        <v>3277730935</v>
      </c>
      <c r="BS46" s="176"/>
      <c r="BT46"/>
    </row>
    <row r="47" spans="1:72" s="40" customFormat="1" ht="32.25" customHeight="1" x14ac:dyDescent="0.2">
      <c r="A47" s="39"/>
      <c r="B47" s="386" t="s">
        <v>113</v>
      </c>
      <c r="C47" s="387"/>
      <c r="D47" s="387"/>
      <c r="E47" s="387"/>
      <c r="F47" s="388"/>
      <c r="G47" s="273">
        <v>0.19</v>
      </c>
      <c r="H47" s="274">
        <f>+ROUND(((H46*G47*G44)/(1+G45)),0)</f>
        <v>24954156</v>
      </c>
      <c r="I47" s="293"/>
      <c r="J47" s="283">
        <f>+ROUND(((J46*$G$47*I44)/(1+I45)),0)</f>
        <v>24710304</v>
      </c>
      <c r="K47" s="176"/>
      <c r="L47" s="293"/>
      <c r="M47" s="283">
        <f t="shared" ref="M47" si="500">+ROUND(((M46*$G$47*L44)/(1+L45)),0)</f>
        <v>24329861</v>
      </c>
      <c r="N47" s="176"/>
      <c r="O47" s="293"/>
      <c r="P47" s="283">
        <f t="shared" ref="P47" si="501">+ROUND(((P46*$G$47*O44)/(1+O45)),0)</f>
        <v>0</v>
      </c>
      <c r="Q47" s="176"/>
      <c r="R47" s="293"/>
      <c r="S47" s="283">
        <f t="shared" ref="S47" si="502">+ROUND(((S46*$G$47*R44)/(1+R45)),0)</f>
        <v>24952457</v>
      </c>
      <c r="T47" s="176"/>
      <c r="U47" s="293"/>
      <c r="V47" s="283">
        <f t="shared" ref="V47" si="503">+ROUND(((V46*$G$47*U44)/(1+U45)),0)</f>
        <v>23757060</v>
      </c>
      <c r="W47" s="176"/>
      <c r="X47" s="293"/>
      <c r="Y47" s="283">
        <f t="shared" ref="Y47" si="504">+ROUND(((Y46*$G$47*X44)/(1+X45)),0)</f>
        <v>0</v>
      </c>
      <c r="Z47" s="176"/>
      <c r="AA47" s="293"/>
      <c r="AB47" s="283">
        <f t="shared" ref="AB47" si="505">+ROUND(((AB46*$G$47*AA44)/(1+AA45)),0)</f>
        <v>24629615</v>
      </c>
      <c r="AC47" s="176"/>
      <c r="AD47" s="293"/>
      <c r="AE47" s="283">
        <f t="shared" ref="AE47" si="506">+ROUND(((AE46*$G$47*AD44)/(1+AD45)),0)</f>
        <v>24778951</v>
      </c>
      <c r="AF47" s="176"/>
      <c r="AG47" s="293"/>
      <c r="AH47" s="283">
        <f t="shared" ref="AH47" si="507">+ROUND(((AH46*$G$47*AG44)/(1+AG45)),0)</f>
        <v>0</v>
      </c>
      <c r="AI47" s="176"/>
      <c r="AJ47" s="293"/>
      <c r="AK47" s="283">
        <f t="shared" ref="AK47" si="508">+ROUND(((AK46*$G$47*AJ44)/(1+AJ45)),0)</f>
        <v>24622015</v>
      </c>
      <c r="AL47" s="176"/>
      <c r="AM47" s="293"/>
      <c r="AN47" s="283">
        <f t="shared" ref="AN47" si="509">+ROUND(((AN46*$G$47*AM44)/(1+AM45)),0)</f>
        <v>0</v>
      </c>
      <c r="AO47" s="176"/>
      <c r="AP47" s="293"/>
      <c r="AQ47" s="283">
        <f t="shared" ref="AQ47" si="510">+ROUND(((AQ46*$G$47*AP44)/(1+AP45)),0)</f>
        <v>0</v>
      </c>
      <c r="AR47" s="176"/>
      <c r="AS47" s="293"/>
      <c r="AT47" s="283">
        <f t="shared" ref="AT47" si="511">+ROUND(((AT46*$G$47*AS44)/(1+AS45)),0)</f>
        <v>19863683</v>
      </c>
      <c r="AU47" s="176"/>
      <c r="AV47" s="293"/>
      <c r="AW47" s="283">
        <f t="shared" ref="AW47" si="512">+ROUND(((AW46*$G$47*AV44)/(1+AV45)),0)</f>
        <v>24488301</v>
      </c>
      <c r="AX47" s="176"/>
      <c r="AY47" s="293"/>
      <c r="AZ47" s="283">
        <f t="shared" ref="AZ47" si="513">+ROUND(((AZ46*$G$47*AY44)/(1+AY45)),0)</f>
        <v>0</v>
      </c>
      <c r="BA47" s="176"/>
      <c r="BB47" s="293"/>
      <c r="BC47" s="283">
        <f t="shared" ref="BC47" si="514">+ROUND(((BC46*$G$47*BB44)/(1+BB45)),0)</f>
        <v>24548910</v>
      </c>
      <c r="BD47" s="176"/>
      <c r="BE47" s="293"/>
      <c r="BF47" s="283">
        <f t="shared" ref="BF47" si="515">+ROUND(((BF46*$G$47*BE44)/(1+BE45)),0)</f>
        <v>24735140</v>
      </c>
      <c r="BG47" s="176"/>
      <c r="BH47" s="293"/>
      <c r="BI47" s="283">
        <f t="shared" ref="BI47" si="516">+ROUND(((BI46*$G$47*BH44)/(1+BH45)),0)</f>
        <v>24554716</v>
      </c>
      <c r="BJ47" s="176"/>
      <c r="BK47" s="293"/>
      <c r="BL47" s="283">
        <f t="shared" ref="BL47" si="517">+ROUND(((BL46*$G$47*BK44)/(1+BK45)),0)</f>
        <v>0</v>
      </c>
      <c r="BM47" s="176"/>
      <c r="BN47" s="293"/>
      <c r="BO47" s="283">
        <f t="shared" ref="BO47" si="518">+ROUND(((BO46*$G$47*BN44)/(1+BN45)),0)</f>
        <v>24887746</v>
      </c>
      <c r="BP47" s="176"/>
      <c r="BQ47" s="293"/>
      <c r="BR47" s="283">
        <f t="shared" ref="BR47" si="519">+ROUND(((BR46*$G$47*BQ44)/(1+BQ45)),0)</f>
        <v>24518460</v>
      </c>
      <c r="BS47" s="176"/>
      <c r="BT47"/>
    </row>
    <row r="48" spans="1:72" s="40" customFormat="1" ht="32.25" customHeight="1" x14ac:dyDescent="0.2">
      <c r="A48" s="39"/>
      <c r="B48" s="268"/>
      <c r="C48" s="269"/>
      <c r="D48" s="270"/>
      <c r="E48" s="269"/>
      <c r="F48" s="271"/>
      <c r="G48" s="271" t="s">
        <v>170</v>
      </c>
      <c r="H48" s="267">
        <f>ROUND(SUM(H46,H47),0)</f>
        <v>3360930736</v>
      </c>
      <c r="I48" s="234"/>
      <c r="J48" s="282">
        <f>ROUND(SUM(J46,J47),0)</f>
        <v>3328087791</v>
      </c>
      <c r="K48" s="176"/>
      <c r="L48" s="234"/>
      <c r="M48" s="282">
        <f t="shared" ref="M48" si="520">ROUND(SUM(M46,M47),0)</f>
        <v>3276848062</v>
      </c>
      <c r="N48" s="176"/>
      <c r="O48" s="234"/>
      <c r="P48" s="282">
        <f t="shared" ref="P48" si="521">ROUND(SUM(P46,P47),0)</f>
        <v>0</v>
      </c>
      <c r="Q48" s="176"/>
      <c r="R48" s="234"/>
      <c r="S48" s="282">
        <f t="shared" ref="S48" si="522">ROUND(SUM(S46,S47),0)</f>
        <v>3360701905</v>
      </c>
      <c r="T48" s="176"/>
      <c r="U48" s="234"/>
      <c r="V48" s="282">
        <f t="shared" ref="V48" si="523">ROUND(SUM(V46,V47),0)</f>
        <v>3199700865</v>
      </c>
      <c r="W48" s="176"/>
      <c r="X48" s="234"/>
      <c r="Y48" s="282">
        <f t="shared" ref="Y48" si="524">ROUND(SUM(Y46,Y47),0)</f>
        <v>0</v>
      </c>
      <c r="Z48" s="176"/>
      <c r="AA48" s="234"/>
      <c r="AB48" s="282">
        <f t="shared" ref="AB48" si="525">ROUND(SUM(AB46,AB47),0)</f>
        <v>3317220261</v>
      </c>
      <c r="AC48" s="176"/>
      <c r="AD48" s="234"/>
      <c r="AE48" s="282">
        <f t="shared" ref="AE48" si="526">ROUND(SUM(AE46,AE47),0)</f>
        <v>3337333498</v>
      </c>
      <c r="AF48" s="176"/>
      <c r="AG48" s="234"/>
      <c r="AH48" s="282">
        <f t="shared" ref="AH48" si="527">ROUND(SUM(AH46,AH47),0)</f>
        <v>0</v>
      </c>
      <c r="AI48" s="176"/>
      <c r="AJ48" s="234"/>
      <c r="AK48" s="282">
        <f t="shared" ref="AK48" si="528">ROUND(SUM(AK46,AK47),0)</f>
        <v>3316196627</v>
      </c>
      <c r="AL48" s="176"/>
      <c r="AM48" s="234"/>
      <c r="AN48" s="282">
        <f t="shared" ref="AN48" si="529">ROUND(SUM(AN46,AN47),0)</f>
        <v>0</v>
      </c>
      <c r="AO48" s="176"/>
      <c r="AP48" s="234"/>
      <c r="AQ48" s="282">
        <f t="shared" ref="AQ48" si="530">ROUND(SUM(AQ46,AQ47),0)</f>
        <v>0</v>
      </c>
      <c r="AR48" s="176"/>
      <c r="AS48" s="234"/>
      <c r="AT48" s="282">
        <f t="shared" ref="AT48" si="531">ROUND(SUM(AT46,AT47),0)</f>
        <v>3339189630</v>
      </c>
      <c r="AU48" s="176"/>
      <c r="AV48" s="234"/>
      <c r="AW48" s="282">
        <f t="shared" ref="AW48" si="532">ROUND(SUM(AW46,AW47),0)</f>
        <v>3298187521</v>
      </c>
      <c r="AX48" s="176"/>
      <c r="AY48" s="234"/>
      <c r="AZ48" s="282">
        <f t="shared" ref="AZ48" si="533">ROUND(SUM(AZ46,AZ47),0)</f>
        <v>0</v>
      </c>
      <c r="BA48" s="176"/>
      <c r="BB48" s="234"/>
      <c r="BC48" s="282">
        <f t="shared" ref="BC48" si="534">ROUND(SUM(BC46,BC47),0)</f>
        <v>3306350523</v>
      </c>
      <c r="BD48" s="176"/>
      <c r="BE48" s="234"/>
      <c r="BF48" s="282">
        <f t="shared" ref="BF48" si="535">ROUND(SUM(BF46,BF47),0)</f>
        <v>3331432864</v>
      </c>
      <c r="BG48" s="176"/>
      <c r="BH48" s="234"/>
      <c r="BI48" s="282">
        <f t="shared" ref="BI48" si="536">ROUND(SUM(BI46,BI47),0)</f>
        <v>3307132492</v>
      </c>
      <c r="BJ48" s="176"/>
      <c r="BK48" s="234"/>
      <c r="BL48" s="282">
        <f t="shared" ref="BL48" si="537">ROUND(SUM(BL46,BL47),0)</f>
        <v>0</v>
      </c>
      <c r="BM48" s="176"/>
      <c r="BN48" s="234"/>
      <c r="BO48" s="282">
        <f t="shared" ref="BO48" si="538">ROUND(SUM(BO46,BO47),0)</f>
        <v>3351986456</v>
      </c>
      <c r="BP48" s="176"/>
      <c r="BQ48" s="234"/>
      <c r="BR48" s="282">
        <f t="shared" ref="BR48" si="539">ROUND(SUM(BR46,BR47),0)</f>
        <v>3302249395</v>
      </c>
      <c r="BS48" s="176"/>
      <c r="BT48"/>
    </row>
    <row r="49" spans="1:72" s="40" customFormat="1" ht="36.75" customHeight="1" x14ac:dyDescent="0.2">
      <c r="A49" s="39"/>
      <c r="B49" s="363" t="s">
        <v>114</v>
      </c>
      <c r="C49" s="364"/>
      <c r="D49" s="364"/>
      <c r="E49" s="364"/>
      <c r="F49" s="364"/>
      <c r="G49" s="365"/>
      <c r="H49" s="247">
        <v>137000000</v>
      </c>
      <c r="I49" s="208" t="s">
        <v>92</v>
      </c>
      <c r="J49" s="230">
        <v>137000000</v>
      </c>
      <c r="K49" s="172" t="str">
        <f>+IF(J49&gt;0,IF(J49&lt;&gt;$H49,"NO VÁLIDA","VÁLIDA"),"NO VÁLIDA")</f>
        <v>VÁLIDA</v>
      </c>
      <c r="L49" s="208" t="s">
        <v>92</v>
      </c>
      <c r="M49" s="230">
        <v>137000000</v>
      </c>
      <c r="N49" s="172" t="str">
        <f t="shared" ref="N49" si="540">+IF(M49&gt;0,IF(M49&lt;&gt;$H49,"NO VÁLIDA","VÁLIDA"),"NO VÁLIDA")</f>
        <v>VÁLIDA</v>
      </c>
      <c r="O49" s="208" t="s">
        <v>92</v>
      </c>
      <c r="P49" s="230"/>
      <c r="Q49" s="172" t="str">
        <f t="shared" ref="Q49" si="541">+IF(P49&gt;0,IF(P49&lt;&gt;$H49,"NO VÁLIDA","VÁLIDA"),"NO VÁLIDA")</f>
        <v>NO VÁLIDA</v>
      </c>
      <c r="R49" s="208" t="s">
        <v>92</v>
      </c>
      <c r="S49" s="230">
        <v>137000000</v>
      </c>
      <c r="T49" s="172" t="str">
        <f t="shared" ref="T49" si="542">+IF(S49&gt;0,IF(S49&lt;&gt;$H49,"NO VÁLIDA","VÁLIDA"),"NO VÁLIDA")</f>
        <v>VÁLIDA</v>
      </c>
      <c r="U49" s="208" t="s">
        <v>92</v>
      </c>
      <c r="V49" s="230">
        <v>137000000</v>
      </c>
      <c r="W49" s="172" t="str">
        <f t="shared" ref="W49" si="543">+IF(V49&gt;0,IF(V49&lt;&gt;$H49,"NO VÁLIDA","VÁLIDA"),"NO VÁLIDA")</f>
        <v>VÁLIDA</v>
      </c>
      <c r="X49" s="208" t="s">
        <v>92</v>
      </c>
      <c r="Y49" s="230"/>
      <c r="Z49" s="172" t="str">
        <f t="shared" ref="Z49" si="544">+IF(Y49&gt;0,IF(Y49&lt;&gt;$H49,"NO VÁLIDA","VÁLIDA"),"NO VÁLIDA")</f>
        <v>NO VÁLIDA</v>
      </c>
      <c r="AA49" s="208" t="s">
        <v>92</v>
      </c>
      <c r="AB49" s="230">
        <v>137000000</v>
      </c>
      <c r="AC49" s="172" t="str">
        <f t="shared" ref="AC49" si="545">+IF(AB49&gt;0,IF(AB49&lt;&gt;$H49,"NO VÁLIDA","VÁLIDA"),"NO VÁLIDA")</f>
        <v>VÁLIDA</v>
      </c>
      <c r="AD49" s="208" t="s">
        <v>92</v>
      </c>
      <c r="AE49" s="230">
        <v>137000000</v>
      </c>
      <c r="AF49" s="172" t="str">
        <f t="shared" ref="AF49" si="546">+IF(AE49&gt;0,IF(AE49&lt;&gt;$H49,"NO VÁLIDA","VÁLIDA"),"NO VÁLIDA")</f>
        <v>VÁLIDA</v>
      </c>
      <c r="AG49" s="208" t="s">
        <v>92</v>
      </c>
      <c r="AH49" s="230"/>
      <c r="AI49" s="172" t="str">
        <f t="shared" ref="AI49" si="547">+IF(AH49&gt;0,IF(AH49&lt;&gt;$H49,"NO VÁLIDA","VÁLIDA"),"NO VÁLIDA")</f>
        <v>NO VÁLIDA</v>
      </c>
      <c r="AJ49" s="208" t="s">
        <v>92</v>
      </c>
      <c r="AK49" s="230">
        <v>137000000</v>
      </c>
      <c r="AL49" s="172" t="str">
        <f t="shared" ref="AL49" si="548">+IF(AK49&gt;0,IF(AK49&lt;&gt;$H49,"NO VÁLIDA","VÁLIDA"),"NO VÁLIDA")</f>
        <v>VÁLIDA</v>
      </c>
      <c r="AM49" s="208" t="s">
        <v>92</v>
      </c>
      <c r="AN49" s="230"/>
      <c r="AO49" s="172" t="str">
        <f t="shared" ref="AO49" si="549">+IF(AN49&gt;0,IF(AN49&lt;&gt;$H49,"NO VÁLIDA","VÁLIDA"),"NO VÁLIDA")</f>
        <v>NO VÁLIDA</v>
      </c>
      <c r="AP49" s="208" t="s">
        <v>92</v>
      </c>
      <c r="AQ49" s="230"/>
      <c r="AR49" s="172" t="str">
        <f t="shared" ref="AR49" si="550">+IF(AQ49&gt;0,IF(AQ49&lt;&gt;$H49,"NO VÁLIDA","VÁLIDA"),"NO VÁLIDA")</f>
        <v>NO VÁLIDA</v>
      </c>
      <c r="AS49" s="208" t="s">
        <v>92</v>
      </c>
      <c r="AT49" s="230">
        <v>137000000</v>
      </c>
      <c r="AU49" s="172" t="str">
        <f t="shared" ref="AU49" si="551">+IF(AT49&gt;0,IF(AT49&lt;&gt;$H49,"NO VÁLIDA","VÁLIDA"),"NO VÁLIDA")</f>
        <v>VÁLIDA</v>
      </c>
      <c r="AV49" s="208" t="s">
        <v>92</v>
      </c>
      <c r="AW49" s="230">
        <v>137000000</v>
      </c>
      <c r="AX49" s="172" t="str">
        <f t="shared" ref="AX49" si="552">+IF(AW49&gt;0,IF(AW49&lt;&gt;$H49,"NO VÁLIDA","VÁLIDA"),"NO VÁLIDA")</f>
        <v>VÁLIDA</v>
      </c>
      <c r="AY49" s="208" t="s">
        <v>92</v>
      </c>
      <c r="AZ49" s="230"/>
      <c r="BA49" s="172" t="str">
        <f t="shared" ref="BA49" si="553">+IF(AZ49&gt;0,IF(AZ49&lt;&gt;$H49,"NO VÁLIDA","VÁLIDA"),"NO VÁLIDA")</f>
        <v>NO VÁLIDA</v>
      </c>
      <c r="BB49" s="208" t="s">
        <v>92</v>
      </c>
      <c r="BC49" s="230">
        <v>137000000</v>
      </c>
      <c r="BD49" s="172" t="str">
        <f t="shared" ref="BD49" si="554">+IF(BC49&gt;0,IF(BC49&lt;&gt;$H49,"NO VÁLIDA","VÁLIDA"),"NO VÁLIDA")</f>
        <v>VÁLIDA</v>
      </c>
      <c r="BE49" s="208" t="s">
        <v>92</v>
      </c>
      <c r="BF49" s="230">
        <v>137000000</v>
      </c>
      <c r="BG49" s="172" t="str">
        <f t="shared" ref="BG49" si="555">+IF(BF49&gt;0,IF(BF49&lt;&gt;$H49,"NO VÁLIDA","VÁLIDA"),"NO VÁLIDA")</f>
        <v>VÁLIDA</v>
      </c>
      <c r="BH49" s="208" t="s">
        <v>92</v>
      </c>
      <c r="BI49" s="230">
        <v>137000000</v>
      </c>
      <c r="BJ49" s="172" t="str">
        <f t="shared" ref="BJ49" si="556">+IF(BI49&gt;0,IF(BI49&lt;&gt;$H49,"NO VÁLIDA","VÁLIDA"),"NO VÁLIDA")</f>
        <v>VÁLIDA</v>
      </c>
      <c r="BK49" s="208" t="s">
        <v>92</v>
      </c>
      <c r="BL49" s="230"/>
      <c r="BM49" s="172" t="str">
        <f t="shared" ref="BM49" si="557">+IF(BL49&gt;0,IF(BL49&lt;&gt;$H49,"NO VÁLIDA","VÁLIDA"),"NO VÁLIDA")</f>
        <v>NO VÁLIDA</v>
      </c>
      <c r="BN49" s="208" t="s">
        <v>92</v>
      </c>
      <c r="BO49" s="230">
        <v>137000000</v>
      </c>
      <c r="BP49" s="172" t="str">
        <f t="shared" ref="BP49" si="558">+IF(BO49&gt;0,IF(BO49&lt;&gt;$H49,"NO VÁLIDA","VÁLIDA"),"NO VÁLIDA")</f>
        <v>VÁLIDA</v>
      </c>
      <c r="BQ49" s="208" t="s">
        <v>92</v>
      </c>
      <c r="BR49" s="230">
        <v>137000000</v>
      </c>
      <c r="BS49" s="172" t="str">
        <f t="shared" ref="BS49:BS50" si="559">+IF(BR49&gt;0,IF(BR49&lt;&gt;$H49,"NO VÁLIDA","VÁLIDA"),"NO VÁLIDA")</f>
        <v>VÁLIDA</v>
      </c>
      <c r="BT49"/>
    </row>
    <row r="50" spans="1:72" s="40" customFormat="1" ht="36.75" customHeight="1" thickBot="1" x14ac:dyDescent="0.25">
      <c r="A50" s="39"/>
      <c r="B50" s="363" t="s">
        <v>115</v>
      </c>
      <c r="C50" s="364"/>
      <c r="D50" s="364"/>
      <c r="E50" s="364"/>
      <c r="F50" s="364"/>
      <c r="G50" s="365"/>
      <c r="H50" s="247">
        <v>140749950</v>
      </c>
      <c r="I50" s="208" t="s">
        <v>92</v>
      </c>
      <c r="J50" s="230">
        <v>140749950</v>
      </c>
      <c r="K50" s="172" t="str">
        <f>+IF(J50&gt;0,IF(J50&lt;&gt;$H50,"NO VÁLIDA","VÁLIDA"),"NO VÁLIDA")</f>
        <v>VÁLIDA</v>
      </c>
      <c r="L50" s="208" t="s">
        <v>92</v>
      </c>
      <c r="M50" s="230">
        <v>140749950</v>
      </c>
      <c r="N50" s="172" t="str">
        <f t="shared" ref="N50" si="560">+IF(M50&gt;0,IF(M50&lt;&gt;$H50,"NO VÁLIDA","VÁLIDA"),"NO VÁLIDA")</f>
        <v>VÁLIDA</v>
      </c>
      <c r="O50" s="208" t="s">
        <v>92</v>
      </c>
      <c r="P50" s="230"/>
      <c r="Q50" s="172" t="str">
        <f t="shared" ref="Q50" si="561">+IF(P50&gt;0,IF(P50&lt;&gt;$H50,"NO VÁLIDA","VÁLIDA"),"NO VÁLIDA")</f>
        <v>NO VÁLIDA</v>
      </c>
      <c r="R50" s="208" t="s">
        <v>92</v>
      </c>
      <c r="S50" s="230">
        <v>140749950</v>
      </c>
      <c r="T50" s="172" t="str">
        <f t="shared" ref="T50" si="562">+IF(S50&gt;0,IF(S50&lt;&gt;$H50,"NO VÁLIDA","VÁLIDA"),"NO VÁLIDA")</f>
        <v>VÁLIDA</v>
      </c>
      <c r="U50" s="208" t="s">
        <v>92</v>
      </c>
      <c r="V50" s="230">
        <v>140749950</v>
      </c>
      <c r="W50" s="172" t="str">
        <f t="shared" ref="W50" si="563">+IF(V50&gt;0,IF(V50&lt;&gt;$H50,"NO VÁLIDA","VÁLIDA"),"NO VÁLIDA")</f>
        <v>VÁLIDA</v>
      </c>
      <c r="X50" s="208" t="s">
        <v>92</v>
      </c>
      <c r="Y50" s="230"/>
      <c r="Z50" s="172" t="str">
        <f t="shared" ref="Z50" si="564">+IF(Y50&gt;0,IF(Y50&lt;&gt;$H50,"NO VÁLIDA","VÁLIDA"),"NO VÁLIDA")</f>
        <v>NO VÁLIDA</v>
      </c>
      <c r="AA50" s="208" t="s">
        <v>92</v>
      </c>
      <c r="AB50" s="230">
        <v>140749950</v>
      </c>
      <c r="AC50" s="172" t="str">
        <f t="shared" ref="AC50" si="565">+IF(AB50&gt;0,IF(AB50&lt;&gt;$H50,"NO VÁLIDA","VÁLIDA"),"NO VÁLIDA")</f>
        <v>VÁLIDA</v>
      </c>
      <c r="AD50" s="208" t="s">
        <v>92</v>
      </c>
      <c r="AE50" s="230">
        <v>140749950</v>
      </c>
      <c r="AF50" s="172" t="str">
        <f t="shared" ref="AF50" si="566">+IF(AE50&gt;0,IF(AE50&lt;&gt;$H50,"NO VÁLIDA","VÁLIDA"),"NO VÁLIDA")</f>
        <v>VÁLIDA</v>
      </c>
      <c r="AG50" s="208" t="s">
        <v>92</v>
      </c>
      <c r="AH50" s="230"/>
      <c r="AI50" s="172" t="str">
        <f t="shared" ref="AI50" si="567">+IF(AH50&gt;0,IF(AH50&lt;&gt;$H50,"NO VÁLIDA","VÁLIDA"),"NO VÁLIDA")</f>
        <v>NO VÁLIDA</v>
      </c>
      <c r="AJ50" s="208" t="s">
        <v>92</v>
      </c>
      <c r="AK50" s="230">
        <v>140749950</v>
      </c>
      <c r="AL50" s="172" t="str">
        <f t="shared" ref="AL50" si="568">+IF(AK50&gt;0,IF(AK50&lt;&gt;$H50,"NO VÁLIDA","VÁLIDA"),"NO VÁLIDA")</f>
        <v>VÁLIDA</v>
      </c>
      <c r="AM50" s="208" t="s">
        <v>92</v>
      </c>
      <c r="AN50" s="230"/>
      <c r="AO50" s="172" t="str">
        <f t="shared" ref="AO50" si="569">+IF(AN50&gt;0,IF(AN50&lt;&gt;$H50,"NO VÁLIDA","VÁLIDA"),"NO VÁLIDA")</f>
        <v>NO VÁLIDA</v>
      </c>
      <c r="AP50" s="208" t="s">
        <v>92</v>
      </c>
      <c r="AQ50" s="230"/>
      <c r="AR50" s="172" t="str">
        <f t="shared" ref="AR50" si="570">+IF(AQ50&gt;0,IF(AQ50&lt;&gt;$H50,"NO VÁLIDA","VÁLIDA"),"NO VÁLIDA")</f>
        <v>NO VÁLIDA</v>
      </c>
      <c r="AS50" s="208" t="s">
        <v>92</v>
      </c>
      <c r="AT50" s="230">
        <v>140749950</v>
      </c>
      <c r="AU50" s="172" t="str">
        <f t="shared" ref="AU50" si="571">+IF(AT50&gt;0,IF(AT50&lt;&gt;$H50,"NO VÁLIDA","VÁLIDA"),"NO VÁLIDA")</f>
        <v>VÁLIDA</v>
      </c>
      <c r="AV50" s="208" t="s">
        <v>92</v>
      </c>
      <c r="AW50" s="230">
        <v>140749950</v>
      </c>
      <c r="AX50" s="172" t="str">
        <f t="shared" ref="AX50" si="572">+IF(AW50&gt;0,IF(AW50&lt;&gt;$H50,"NO VÁLIDA","VÁLIDA"),"NO VÁLIDA")</f>
        <v>VÁLIDA</v>
      </c>
      <c r="AY50" s="208" t="s">
        <v>92</v>
      </c>
      <c r="AZ50" s="230"/>
      <c r="BA50" s="172" t="str">
        <f t="shared" ref="BA50" si="573">+IF(AZ50&gt;0,IF(AZ50&lt;&gt;$H50,"NO VÁLIDA","VÁLIDA"),"NO VÁLIDA")</f>
        <v>NO VÁLIDA</v>
      </c>
      <c r="BB50" s="208" t="s">
        <v>92</v>
      </c>
      <c r="BC50" s="230">
        <v>140749950</v>
      </c>
      <c r="BD50" s="172" t="str">
        <f t="shared" ref="BD50" si="574">+IF(BC50&gt;0,IF(BC50&lt;&gt;$H50,"NO VÁLIDA","VÁLIDA"),"NO VÁLIDA")</f>
        <v>VÁLIDA</v>
      </c>
      <c r="BE50" s="208" t="s">
        <v>92</v>
      </c>
      <c r="BF50" s="230">
        <v>140749950</v>
      </c>
      <c r="BG50" s="172" t="str">
        <f t="shared" ref="BG50" si="575">+IF(BF50&gt;0,IF(BF50&lt;&gt;$H50,"NO VÁLIDA","VÁLIDA"),"NO VÁLIDA")</f>
        <v>VÁLIDA</v>
      </c>
      <c r="BH50" s="208" t="s">
        <v>92</v>
      </c>
      <c r="BI50" s="230">
        <v>140749950</v>
      </c>
      <c r="BJ50" s="172" t="str">
        <f t="shared" ref="BJ50" si="576">+IF(BI50&gt;0,IF(BI50&lt;&gt;$H50,"NO VÁLIDA","VÁLIDA"),"NO VÁLIDA")</f>
        <v>VÁLIDA</v>
      </c>
      <c r="BK50" s="208" t="s">
        <v>92</v>
      </c>
      <c r="BL50" s="230"/>
      <c r="BM50" s="172" t="str">
        <f t="shared" ref="BM50" si="577">+IF(BL50&gt;0,IF(BL50&lt;&gt;$H50,"NO VÁLIDA","VÁLIDA"),"NO VÁLIDA")</f>
        <v>NO VÁLIDA</v>
      </c>
      <c r="BN50" s="208" t="s">
        <v>92</v>
      </c>
      <c r="BO50" s="230">
        <v>140749950</v>
      </c>
      <c r="BP50" s="172" t="str">
        <f t="shared" ref="BP50" si="578">+IF(BO50&gt;0,IF(BO50&lt;&gt;$H50,"NO VÁLIDA","VÁLIDA"),"NO VÁLIDA")</f>
        <v>VÁLIDA</v>
      </c>
      <c r="BQ50" s="208" t="s">
        <v>92</v>
      </c>
      <c r="BR50" s="230">
        <v>140749950</v>
      </c>
      <c r="BS50" s="172" t="str">
        <f t="shared" si="559"/>
        <v>VÁLIDA</v>
      </c>
      <c r="BT50"/>
    </row>
    <row r="51" spans="1:72" s="239" customFormat="1" ht="36.75" customHeight="1" thickBot="1" x14ac:dyDescent="0.25">
      <c r="A51" s="235"/>
      <c r="B51" s="275"/>
      <c r="C51" s="276"/>
      <c r="D51" s="277"/>
      <c r="E51" s="276"/>
      <c r="F51" s="278"/>
      <c r="G51" s="278" t="s">
        <v>116</v>
      </c>
      <c r="H51" s="279">
        <f>ROUND(SUM(H48:H50),0)</f>
        <v>3638680686</v>
      </c>
      <c r="I51" s="236"/>
      <c r="J51" s="284">
        <f>ROUND(SUM(J48:J50),0)</f>
        <v>3605837741</v>
      </c>
      <c r="K51" s="237"/>
      <c r="L51" s="236"/>
      <c r="M51" s="284">
        <f t="shared" ref="M51" si="579">ROUND(SUM(M48:M50),0)</f>
        <v>3554598012</v>
      </c>
      <c r="N51" s="237"/>
      <c r="O51" s="236"/>
      <c r="P51" s="284">
        <f t="shared" ref="P51" si="580">ROUND(SUM(P48:P50),0)</f>
        <v>0</v>
      </c>
      <c r="Q51" s="237"/>
      <c r="R51" s="236"/>
      <c r="S51" s="284">
        <f t="shared" ref="S51" si="581">ROUND(SUM(S48:S50),0)</f>
        <v>3638451855</v>
      </c>
      <c r="T51" s="237"/>
      <c r="U51" s="236"/>
      <c r="V51" s="284">
        <f t="shared" ref="V51" si="582">ROUND(SUM(V48:V50),0)</f>
        <v>3477450815</v>
      </c>
      <c r="W51" s="237"/>
      <c r="X51" s="236"/>
      <c r="Y51" s="284">
        <f t="shared" ref="Y51" si="583">ROUND(SUM(Y48:Y50),0)</f>
        <v>0</v>
      </c>
      <c r="Z51" s="237"/>
      <c r="AA51" s="236"/>
      <c r="AB51" s="284">
        <f t="shared" ref="AB51" si="584">ROUND(SUM(AB48:AB50),0)</f>
        <v>3594970211</v>
      </c>
      <c r="AC51" s="237"/>
      <c r="AD51" s="236"/>
      <c r="AE51" s="284">
        <f t="shared" ref="AE51" si="585">ROUND(SUM(AE48:AE50),0)</f>
        <v>3615083448</v>
      </c>
      <c r="AF51" s="237"/>
      <c r="AG51" s="236"/>
      <c r="AH51" s="284">
        <f t="shared" ref="AH51" si="586">ROUND(SUM(AH48:AH50),0)</f>
        <v>0</v>
      </c>
      <c r="AI51" s="237"/>
      <c r="AJ51" s="236"/>
      <c r="AK51" s="284">
        <f t="shared" ref="AK51" si="587">ROUND(SUM(AK48:AK50),0)</f>
        <v>3593946577</v>
      </c>
      <c r="AL51" s="237"/>
      <c r="AM51" s="236"/>
      <c r="AN51" s="284">
        <f t="shared" ref="AN51" si="588">ROUND(SUM(AN48:AN50),0)</f>
        <v>0</v>
      </c>
      <c r="AO51" s="237"/>
      <c r="AP51" s="236"/>
      <c r="AQ51" s="284">
        <f t="shared" ref="AQ51" si="589">ROUND(SUM(AQ48:AQ50),0)</f>
        <v>0</v>
      </c>
      <c r="AR51" s="237"/>
      <c r="AS51" s="236"/>
      <c r="AT51" s="284">
        <f t="shared" ref="AT51" si="590">ROUND(SUM(AT48:AT50),0)</f>
        <v>3616939580</v>
      </c>
      <c r="AU51" s="237"/>
      <c r="AV51" s="236"/>
      <c r="AW51" s="284">
        <f t="shared" ref="AW51" si="591">ROUND(SUM(AW48:AW50),0)</f>
        <v>3575937471</v>
      </c>
      <c r="AX51" s="237"/>
      <c r="AY51" s="236"/>
      <c r="AZ51" s="284">
        <f t="shared" ref="AZ51" si="592">ROUND(SUM(AZ48:AZ50),0)</f>
        <v>0</v>
      </c>
      <c r="BA51" s="237"/>
      <c r="BB51" s="236"/>
      <c r="BC51" s="284">
        <f t="shared" ref="BC51" si="593">ROUND(SUM(BC48:BC50),0)</f>
        <v>3584100473</v>
      </c>
      <c r="BD51" s="237"/>
      <c r="BE51" s="236"/>
      <c r="BF51" s="284">
        <f t="shared" ref="BF51" si="594">ROUND(SUM(BF48:BF50),0)</f>
        <v>3609182814</v>
      </c>
      <c r="BG51" s="237"/>
      <c r="BH51" s="236"/>
      <c r="BI51" s="284">
        <f t="shared" ref="BI51" si="595">ROUND(SUM(BI48:BI50),0)</f>
        <v>3584882442</v>
      </c>
      <c r="BJ51" s="237"/>
      <c r="BK51" s="236"/>
      <c r="BL51" s="284">
        <f t="shared" ref="BL51" si="596">ROUND(SUM(BL48:BL50),0)</f>
        <v>0</v>
      </c>
      <c r="BM51" s="237"/>
      <c r="BN51" s="236"/>
      <c r="BO51" s="284">
        <f t="shared" ref="BO51" si="597">ROUND(SUM(BO48:BO50),0)</f>
        <v>3629736406</v>
      </c>
      <c r="BP51" s="237"/>
      <c r="BQ51" s="236"/>
      <c r="BR51" s="284">
        <f t="shared" ref="BR51" si="598">ROUND(SUM(BR48:BR50),0)</f>
        <v>3579999345</v>
      </c>
      <c r="BS51" s="237"/>
      <c r="BT51" s="238"/>
    </row>
    <row r="52" spans="1:72" s="40" customFormat="1" ht="36.75" customHeight="1" thickBot="1" x14ac:dyDescent="0.25">
      <c r="A52" s="39"/>
      <c r="B52" s="240" t="s">
        <v>0</v>
      </c>
      <c r="C52" s="177"/>
      <c r="D52" s="80"/>
      <c r="E52" s="178"/>
      <c r="F52" s="81"/>
      <c r="G52" s="81"/>
      <c r="H52" s="79">
        <f>ROUND(H51,0)</f>
        <v>3638680686</v>
      </c>
      <c r="I52" s="179"/>
      <c r="J52" s="180">
        <f>IF(I10="ADMISIBLE",IF(AND(K52="VÁLIDA",J51&lt;=$H$52,I54="",J51&gt;=$H$52*0.9),J51,"DESCARTADO"),I10)</f>
        <v>3605837741</v>
      </c>
      <c r="K52" s="172" t="str">
        <f>IF(COUNTIF(K15:K50,"NO VÁLIDA")&gt;0,"NO VÁLIDA","VÁLIDA")</f>
        <v>VÁLIDA</v>
      </c>
      <c r="L52" s="179"/>
      <c r="M52" s="180" t="str">
        <f t="shared" ref="M52" si="599">IF(L10="ADMISIBLE",IF(AND(N52="VÁLIDA",M51&lt;=$H$52,L54="",M51&gt;=$H$52*0.9),M51,"DESCARTADO"),L10)</f>
        <v>DESCARTADO</v>
      </c>
      <c r="N52" s="172" t="str">
        <f t="shared" ref="N52" si="600">IF(COUNTIF(N15:N50,"NO VÁLIDA")&gt;0,"NO VÁLIDA","VÁLIDA")</f>
        <v>NO VÁLIDA</v>
      </c>
      <c r="O52" s="179"/>
      <c r="P52" s="180" t="str">
        <f t="shared" ref="P52" si="601">IF(O10="ADMISIBLE",IF(AND(Q52="VÁLIDA",P51&lt;=$H$52,O54="",P51&gt;=$H$52*0.9),P51,"DESCARTADO"),O10)</f>
        <v>RECHAZO</v>
      </c>
      <c r="Q52" s="172" t="str">
        <f t="shared" ref="Q52" si="602">IF(COUNTIF(Q15:Q50,"NO VÁLIDA")&gt;0,"NO VÁLIDA","VÁLIDA")</f>
        <v>NO VÁLIDA</v>
      </c>
      <c r="R52" s="179"/>
      <c r="S52" s="180">
        <f t="shared" ref="S52" si="603">IF(R10="ADMISIBLE",IF(AND(T52="VÁLIDA",S51&lt;=$H$52,R54="",S51&gt;=$H$52*0.9),S51,"DESCARTADO"),R10)</f>
        <v>3638451855</v>
      </c>
      <c r="T52" s="172" t="str">
        <f t="shared" ref="T52" si="604">IF(COUNTIF(T15:T50,"NO VÁLIDA")&gt;0,"NO VÁLIDA","VÁLIDA")</f>
        <v>VÁLIDA</v>
      </c>
      <c r="U52" s="179"/>
      <c r="V52" s="180" t="str">
        <f t="shared" ref="V52" si="605">IF(U10="ADMISIBLE",IF(AND(W52="VÁLIDA",V51&lt;=$H$52,U54="",V51&gt;=$H$52*0.9),V51,"DESCARTADO"),U10)</f>
        <v>DESCARTADO</v>
      </c>
      <c r="W52" s="172" t="str">
        <f t="shared" ref="W52" si="606">IF(COUNTIF(W15:W50,"NO VÁLIDA")&gt;0,"NO VÁLIDA","VÁLIDA")</f>
        <v>NO VÁLIDA</v>
      </c>
      <c r="X52" s="179"/>
      <c r="Y52" s="180" t="str">
        <f t="shared" ref="Y52" si="607">IF(X10="ADMISIBLE",IF(AND(Z52="VÁLIDA",Y51&lt;=$H$52,X54="",Y51&gt;=$H$52*0.9),Y51,"DESCARTADO"),X10)</f>
        <v>RECHAZO</v>
      </c>
      <c r="Z52" s="172" t="str">
        <f t="shared" ref="Z52" si="608">IF(COUNTIF(Z15:Z50,"NO VÁLIDA")&gt;0,"NO VÁLIDA","VÁLIDA")</f>
        <v>NO VÁLIDA</v>
      </c>
      <c r="AA52" s="179"/>
      <c r="AB52" s="180">
        <f t="shared" ref="AB52" si="609">IF(AA10="ADMISIBLE",IF(AND(AC52="VÁLIDA",AB51&lt;=$H$52,AA54="",AB51&gt;=$H$52*0.9),AB51,"DESCARTADO"),AA10)</f>
        <v>3594970211</v>
      </c>
      <c r="AC52" s="172" t="str">
        <f t="shared" ref="AC52" si="610">IF(COUNTIF(AC15:AC50,"NO VÁLIDA")&gt;0,"NO VÁLIDA","VÁLIDA")</f>
        <v>VÁLIDA</v>
      </c>
      <c r="AD52" s="179"/>
      <c r="AE52" s="180">
        <f t="shared" ref="AE52" si="611">IF(AD10="ADMISIBLE",IF(AND(AF52="VÁLIDA",AE51&lt;=$H$52,AD54="",AE51&gt;=$H$52*0.9),AE51,"DESCARTADO"),AD10)</f>
        <v>3615083448</v>
      </c>
      <c r="AF52" s="172" t="str">
        <f t="shared" ref="AF52" si="612">IF(COUNTIF(AF15:AF50,"NO VÁLIDA")&gt;0,"NO VÁLIDA","VÁLIDA")</f>
        <v>VÁLIDA</v>
      </c>
      <c r="AG52" s="179"/>
      <c r="AH52" s="180" t="str">
        <f t="shared" ref="AH52" si="613">IF(AG10="ADMISIBLE",IF(AND(AI52="VÁLIDA",AH51&lt;=$H$52,AG54="",AH51&gt;=$H$52*0.9),AH51,"DESCARTADO"),AG10)</f>
        <v>NO ADMISIBLE</v>
      </c>
      <c r="AI52" s="172" t="str">
        <f t="shared" ref="AI52" si="614">IF(COUNTIF(AI15:AI50,"NO VÁLIDA")&gt;0,"NO VÁLIDA","VÁLIDA")</f>
        <v>NO VÁLIDA</v>
      </c>
      <c r="AJ52" s="179"/>
      <c r="AK52" s="180">
        <f t="shared" ref="AK52" si="615">IF(AJ10="ADMISIBLE",IF(AND(AL52="VÁLIDA",AK51&lt;=$H$52,AJ54="",AK51&gt;=$H$52*0.9),AK51,"DESCARTADO"),AJ10)</f>
        <v>3593946577</v>
      </c>
      <c r="AL52" s="172" t="str">
        <f t="shared" ref="AL52" si="616">IF(COUNTIF(AL15:AL50,"NO VÁLIDA")&gt;0,"NO VÁLIDA","VÁLIDA")</f>
        <v>VÁLIDA</v>
      </c>
      <c r="AM52" s="179"/>
      <c r="AN52" s="180" t="str">
        <f t="shared" ref="AN52" si="617">IF(AM10="ADMISIBLE",IF(AND(AO52="VÁLIDA",AN51&lt;=$H$52,AM54="",AN51&gt;=$H$52*0.9),AN51,"DESCARTADO"),AM10)</f>
        <v>RECHAZO</v>
      </c>
      <c r="AO52" s="172" t="str">
        <f t="shared" ref="AO52" si="618">IF(COUNTIF(AO15:AO50,"NO VÁLIDA")&gt;0,"NO VÁLIDA","VÁLIDA")</f>
        <v>NO VÁLIDA</v>
      </c>
      <c r="AP52" s="179"/>
      <c r="AQ52" s="180" t="str">
        <f t="shared" ref="AQ52" si="619">IF(AP10="ADMISIBLE",IF(AND(AR52="VÁLIDA",AQ51&lt;=$H$52,AP54="",AQ51&gt;=$H$52*0.9),AQ51,"DESCARTADO"),AP10)</f>
        <v>RECHAZO</v>
      </c>
      <c r="AR52" s="172" t="str">
        <f t="shared" ref="AR52" si="620">IF(COUNTIF(AR15:AR50,"NO VÁLIDA")&gt;0,"NO VÁLIDA","VÁLIDA")</f>
        <v>NO VÁLIDA</v>
      </c>
      <c r="AS52" s="179"/>
      <c r="AT52" s="180">
        <f t="shared" ref="AT52" si="621">IF(AS10="ADMISIBLE",IF(AND(AU52="VÁLIDA",AT51&lt;=$H$52,AS54="",AT51&gt;=$H$52*0.9),AT51,"DESCARTADO"),AS10)</f>
        <v>3616939580</v>
      </c>
      <c r="AU52" s="172" t="str">
        <f t="shared" ref="AU52" si="622">IF(COUNTIF(AU15:AU50,"NO VÁLIDA")&gt;0,"NO VÁLIDA","VÁLIDA")</f>
        <v>VÁLIDA</v>
      </c>
      <c r="AV52" s="179"/>
      <c r="AW52" s="180">
        <f t="shared" ref="AW52" si="623">IF(AV10="ADMISIBLE",IF(AND(AX52="VÁLIDA",AW51&lt;=$H$52,AV54="",AW51&gt;=$H$52*0.9),AW51,"DESCARTADO"),AV10)</f>
        <v>3575937471</v>
      </c>
      <c r="AX52" s="172" t="str">
        <f t="shared" ref="AX52" si="624">IF(COUNTIF(AX15:AX50,"NO VÁLIDA")&gt;0,"NO VÁLIDA","VÁLIDA")</f>
        <v>VÁLIDA</v>
      </c>
      <c r="AY52" s="179"/>
      <c r="AZ52" s="180" t="str">
        <f t="shared" ref="AZ52" si="625">IF(AY10="ADMISIBLE",IF(AND(BA52="VÁLIDA",AZ51&lt;=$H$52,AY54="",AZ51&gt;=$H$52*0.9),AZ51,"DESCARTADO"),AY10)</f>
        <v>RECHAZO</v>
      </c>
      <c r="BA52" s="172" t="str">
        <f t="shared" ref="BA52" si="626">IF(COUNTIF(BA15:BA50,"NO VÁLIDA")&gt;0,"NO VÁLIDA","VÁLIDA")</f>
        <v>NO VÁLIDA</v>
      </c>
      <c r="BB52" s="179"/>
      <c r="BC52" s="180">
        <f t="shared" ref="BC52" si="627">IF(BB10="ADMISIBLE",IF(AND(BD52="VÁLIDA",BC51&lt;=$H$52,BB54="",BC51&gt;=$H$52*0.9),BC51,"DESCARTADO"),BB10)</f>
        <v>3584100473</v>
      </c>
      <c r="BD52" s="172" t="str">
        <f t="shared" ref="BD52" si="628">IF(COUNTIF(BD15:BD50,"NO VÁLIDA")&gt;0,"NO VÁLIDA","VÁLIDA")</f>
        <v>VÁLIDA</v>
      </c>
      <c r="BE52" s="179"/>
      <c r="BF52" s="180">
        <f t="shared" ref="BF52" si="629">IF(BE10="ADMISIBLE",IF(AND(BG52="VÁLIDA",BF51&lt;=$H$52,BE54="",BF51&gt;=$H$52*0.9),BF51,"DESCARTADO"),BE10)</f>
        <v>3609182814</v>
      </c>
      <c r="BG52" s="172" t="str">
        <f t="shared" ref="BG52" si="630">IF(COUNTIF(BG15:BG50,"NO VÁLIDA")&gt;0,"NO VÁLIDA","VÁLIDA")</f>
        <v>VÁLIDA</v>
      </c>
      <c r="BH52" s="179"/>
      <c r="BI52" s="180">
        <f t="shared" ref="BI52" si="631">IF(BH10="ADMISIBLE",IF(AND(BJ52="VÁLIDA",BI51&lt;=$H$52,BH54="",BI51&gt;=$H$52*0.9),BI51,"DESCARTADO"),BH10)</f>
        <v>3584882442</v>
      </c>
      <c r="BJ52" s="172" t="str">
        <f t="shared" ref="BJ52" si="632">IF(COUNTIF(BJ15:BJ50,"NO VÁLIDA")&gt;0,"NO VÁLIDA","VÁLIDA")</f>
        <v>VÁLIDA</v>
      </c>
      <c r="BK52" s="179"/>
      <c r="BL52" s="180" t="str">
        <f t="shared" ref="BL52" si="633">IF(BK10="ADMISIBLE",IF(AND(BM52="VÁLIDA",BL51&lt;=$H$52,BK54="",BL51&gt;=$H$52*0.9),BL51,"DESCARTADO"),BK10)</f>
        <v>RECHAZO</v>
      </c>
      <c r="BM52" s="172" t="str">
        <f t="shared" ref="BM52" si="634">IF(COUNTIF(BM15:BM50,"NO VÁLIDA")&gt;0,"NO VÁLIDA","VÁLIDA")</f>
        <v>NO VÁLIDA</v>
      </c>
      <c r="BN52" s="179"/>
      <c r="BO52" s="180">
        <f t="shared" ref="BO52" si="635">IF(BN10="ADMISIBLE",IF(AND(BP52="VÁLIDA",BO51&lt;=$H$52,BN54="",BO51&gt;=$H$52*0.9),BO51,"DESCARTADO"),BN10)</f>
        <v>3629736406</v>
      </c>
      <c r="BP52" s="172" t="str">
        <f t="shared" ref="BP52" si="636">IF(COUNTIF(BP15:BP50,"NO VÁLIDA")&gt;0,"NO VÁLIDA","VÁLIDA")</f>
        <v>VÁLIDA</v>
      </c>
      <c r="BQ52" s="179"/>
      <c r="BR52" s="180">
        <f t="shared" ref="BR52" si="637">IF(BQ10="ADMISIBLE",IF(AND(BS52="VÁLIDA",BR51&lt;=$H$52,BQ54="",BR51&gt;=$H$52*0.9),BR51,"DESCARTADO"),BQ10)</f>
        <v>3579999345</v>
      </c>
      <c r="BS52" s="172" t="str">
        <f t="shared" ref="BS52" si="638">IF(COUNTIF(BS15:BS50,"NO VÁLIDA")&gt;0,"NO VÁLIDA","VÁLIDA")</f>
        <v>VÁLIDA</v>
      </c>
      <c r="BT52"/>
    </row>
    <row r="53" spans="1:72" s="9" customFormat="1" ht="19.5" thickTop="1" thickBot="1" x14ac:dyDescent="0.3">
      <c r="A53" s="22"/>
      <c r="B53" s="14"/>
      <c r="C53" s="14"/>
      <c r="D53" s="23"/>
      <c r="E53" s="23"/>
      <c r="F53" s="23"/>
      <c r="G53" s="28"/>
      <c r="H53" s="28"/>
      <c r="I53" s="369">
        <f>I11</f>
        <v>1</v>
      </c>
      <c r="J53" s="370"/>
      <c r="K53" s="371"/>
      <c r="L53" s="369">
        <f>L11</f>
        <v>2</v>
      </c>
      <c r="M53" s="370"/>
      <c r="N53" s="371"/>
      <c r="O53" s="369">
        <f>O11</f>
        <v>3</v>
      </c>
      <c r="P53" s="370"/>
      <c r="Q53" s="371"/>
      <c r="R53" s="369">
        <f>R11</f>
        <v>5</v>
      </c>
      <c r="S53" s="370"/>
      <c r="T53" s="371"/>
      <c r="U53" s="369">
        <f>U11</f>
        <v>6</v>
      </c>
      <c r="V53" s="370"/>
      <c r="W53" s="371"/>
      <c r="X53" s="369">
        <f>X11</f>
        <v>7</v>
      </c>
      <c r="Y53" s="370"/>
      <c r="Z53" s="371"/>
      <c r="AA53" s="369">
        <f>AA11</f>
        <v>8</v>
      </c>
      <c r="AB53" s="370"/>
      <c r="AC53" s="371"/>
      <c r="AD53" s="369">
        <f>AD11</f>
        <v>9</v>
      </c>
      <c r="AE53" s="370"/>
      <c r="AF53" s="371"/>
      <c r="AG53" s="369">
        <f>AG11</f>
        <v>10</v>
      </c>
      <c r="AH53" s="370"/>
      <c r="AI53" s="371"/>
      <c r="AJ53" s="369">
        <f>AJ11</f>
        <v>11</v>
      </c>
      <c r="AK53" s="370"/>
      <c r="AL53" s="371"/>
      <c r="AM53" s="369">
        <f>AM11</f>
        <v>13</v>
      </c>
      <c r="AN53" s="370"/>
      <c r="AO53" s="371"/>
      <c r="AP53" s="369">
        <f>AP11</f>
        <v>16</v>
      </c>
      <c r="AQ53" s="370"/>
      <c r="AR53" s="371"/>
      <c r="AS53" s="369">
        <f>AS11</f>
        <v>17</v>
      </c>
      <c r="AT53" s="370"/>
      <c r="AU53" s="371"/>
      <c r="AV53" s="369">
        <f>AV11</f>
        <v>18</v>
      </c>
      <c r="AW53" s="370"/>
      <c r="AX53" s="371"/>
      <c r="AY53" s="369">
        <f>AY11</f>
        <v>22</v>
      </c>
      <c r="AZ53" s="370"/>
      <c r="BA53" s="371"/>
      <c r="BB53" s="369">
        <f>BB11</f>
        <v>23</v>
      </c>
      <c r="BC53" s="370"/>
      <c r="BD53" s="371"/>
      <c r="BE53" s="369">
        <f>BE11</f>
        <v>24</v>
      </c>
      <c r="BF53" s="370"/>
      <c r="BG53" s="371"/>
      <c r="BH53" s="369">
        <f>BH11</f>
        <v>25</v>
      </c>
      <c r="BI53" s="370"/>
      <c r="BJ53" s="371"/>
      <c r="BK53" s="369">
        <f>BK11</f>
        <v>26</v>
      </c>
      <c r="BL53" s="370"/>
      <c r="BM53" s="371"/>
      <c r="BN53" s="369">
        <f>BN11</f>
        <v>27</v>
      </c>
      <c r="BO53" s="370"/>
      <c r="BP53" s="371"/>
      <c r="BQ53" s="369">
        <f>BQ11</f>
        <v>28</v>
      </c>
      <c r="BR53" s="370"/>
      <c r="BS53" s="371"/>
      <c r="BT53"/>
    </row>
    <row r="54" spans="1:72" ht="18.75" customHeight="1" thickTop="1" x14ac:dyDescent="0.2">
      <c r="A54" s="11"/>
      <c r="D54" s="11"/>
      <c r="E54" s="11"/>
      <c r="F54" s="11"/>
      <c r="G54" s="29"/>
      <c r="H54" s="381" t="s">
        <v>38</v>
      </c>
      <c r="I54" s="372"/>
      <c r="J54" s="373"/>
      <c r="K54" s="374"/>
      <c r="L54" s="372" t="s">
        <v>200</v>
      </c>
      <c r="M54" s="373"/>
      <c r="N54" s="374"/>
      <c r="O54" s="372"/>
      <c r="P54" s="373"/>
      <c r="Q54" s="374"/>
      <c r="R54" s="372"/>
      <c r="S54" s="373"/>
      <c r="T54" s="374"/>
      <c r="U54" s="372" t="s">
        <v>196</v>
      </c>
      <c r="V54" s="373"/>
      <c r="W54" s="374"/>
      <c r="X54" s="372"/>
      <c r="Y54" s="373"/>
      <c r="Z54" s="374"/>
      <c r="AA54" s="372"/>
      <c r="AB54" s="373"/>
      <c r="AC54" s="374"/>
      <c r="AD54" s="372"/>
      <c r="AE54" s="373"/>
      <c r="AF54" s="374"/>
      <c r="AG54" s="372"/>
      <c r="AH54" s="373"/>
      <c r="AI54" s="374"/>
      <c r="AJ54" s="372"/>
      <c r="AK54" s="373"/>
      <c r="AL54" s="374"/>
      <c r="AM54" s="372"/>
      <c r="AN54" s="373"/>
      <c r="AO54" s="374"/>
      <c r="AP54" s="372"/>
      <c r="AQ54" s="373"/>
      <c r="AR54" s="374"/>
      <c r="AS54" s="354"/>
      <c r="AT54" s="355"/>
      <c r="AU54" s="356"/>
      <c r="AV54" s="372"/>
      <c r="AW54" s="373"/>
      <c r="AX54" s="374"/>
      <c r="AY54" s="372"/>
      <c r="AZ54" s="373"/>
      <c r="BA54" s="374"/>
      <c r="BB54" s="372"/>
      <c r="BC54" s="373"/>
      <c r="BD54" s="374"/>
      <c r="BE54" s="372"/>
      <c r="BF54" s="373"/>
      <c r="BG54" s="374"/>
      <c r="BH54" s="372"/>
      <c r="BI54" s="373"/>
      <c r="BJ54" s="374"/>
      <c r="BK54" s="372"/>
      <c r="BL54" s="373"/>
      <c r="BM54" s="374"/>
      <c r="BN54" s="372"/>
      <c r="BO54" s="373"/>
      <c r="BP54" s="374"/>
      <c r="BQ54" s="372"/>
      <c r="BR54" s="373"/>
      <c r="BS54" s="374"/>
    </row>
    <row r="55" spans="1:72" ht="18.75" customHeight="1" x14ac:dyDescent="0.2">
      <c r="H55" s="382"/>
      <c r="I55" s="375"/>
      <c r="J55" s="376"/>
      <c r="K55" s="377"/>
      <c r="L55" s="375"/>
      <c r="M55" s="376"/>
      <c r="N55" s="377"/>
      <c r="O55" s="375"/>
      <c r="P55" s="376"/>
      <c r="Q55" s="377"/>
      <c r="R55" s="375"/>
      <c r="S55" s="376"/>
      <c r="T55" s="377"/>
      <c r="U55" s="375"/>
      <c r="V55" s="376"/>
      <c r="W55" s="377"/>
      <c r="X55" s="375"/>
      <c r="Y55" s="376"/>
      <c r="Z55" s="377"/>
      <c r="AA55" s="375"/>
      <c r="AB55" s="376"/>
      <c r="AC55" s="377"/>
      <c r="AD55" s="375"/>
      <c r="AE55" s="376"/>
      <c r="AF55" s="377"/>
      <c r="AG55" s="375"/>
      <c r="AH55" s="376"/>
      <c r="AI55" s="377"/>
      <c r="AJ55" s="375"/>
      <c r="AK55" s="376"/>
      <c r="AL55" s="377"/>
      <c r="AM55" s="375"/>
      <c r="AN55" s="376"/>
      <c r="AO55" s="377"/>
      <c r="AP55" s="375"/>
      <c r="AQ55" s="376"/>
      <c r="AR55" s="377"/>
      <c r="AS55" s="357"/>
      <c r="AT55" s="358"/>
      <c r="AU55" s="359"/>
      <c r="AV55" s="375"/>
      <c r="AW55" s="376"/>
      <c r="AX55" s="377"/>
      <c r="AY55" s="375"/>
      <c r="AZ55" s="376"/>
      <c r="BA55" s="377"/>
      <c r="BB55" s="375"/>
      <c r="BC55" s="376"/>
      <c r="BD55" s="377"/>
      <c r="BE55" s="375"/>
      <c r="BF55" s="376"/>
      <c r="BG55" s="377"/>
      <c r="BH55" s="375"/>
      <c r="BI55" s="376"/>
      <c r="BJ55" s="377"/>
      <c r="BK55" s="375"/>
      <c r="BL55" s="376"/>
      <c r="BM55" s="377"/>
      <c r="BN55" s="375"/>
      <c r="BO55" s="376"/>
      <c r="BP55" s="377"/>
      <c r="BQ55" s="375"/>
      <c r="BR55" s="376"/>
      <c r="BS55" s="377"/>
    </row>
    <row r="56" spans="1:72" ht="18.75" customHeight="1" x14ac:dyDescent="0.2">
      <c r="H56" s="382"/>
      <c r="I56" s="375"/>
      <c r="J56" s="376"/>
      <c r="K56" s="377"/>
      <c r="L56" s="375"/>
      <c r="M56" s="376"/>
      <c r="N56" s="377"/>
      <c r="O56" s="375"/>
      <c r="P56" s="376"/>
      <c r="Q56" s="377"/>
      <c r="R56" s="375"/>
      <c r="S56" s="376"/>
      <c r="T56" s="377"/>
      <c r="U56" s="375"/>
      <c r="V56" s="376"/>
      <c r="W56" s="377"/>
      <c r="X56" s="375"/>
      <c r="Y56" s="376"/>
      <c r="Z56" s="377"/>
      <c r="AA56" s="375"/>
      <c r="AB56" s="376"/>
      <c r="AC56" s="377"/>
      <c r="AD56" s="375"/>
      <c r="AE56" s="376"/>
      <c r="AF56" s="377"/>
      <c r="AG56" s="375"/>
      <c r="AH56" s="376"/>
      <c r="AI56" s="377"/>
      <c r="AJ56" s="375"/>
      <c r="AK56" s="376"/>
      <c r="AL56" s="377"/>
      <c r="AM56" s="375"/>
      <c r="AN56" s="376"/>
      <c r="AO56" s="377"/>
      <c r="AP56" s="375"/>
      <c r="AQ56" s="376"/>
      <c r="AR56" s="377"/>
      <c r="AS56" s="357"/>
      <c r="AT56" s="358"/>
      <c r="AU56" s="359"/>
      <c r="AV56" s="375"/>
      <c r="AW56" s="376"/>
      <c r="AX56" s="377"/>
      <c r="AY56" s="375"/>
      <c r="AZ56" s="376"/>
      <c r="BA56" s="377"/>
      <c r="BB56" s="375"/>
      <c r="BC56" s="376"/>
      <c r="BD56" s="377"/>
      <c r="BE56" s="375"/>
      <c r="BF56" s="376"/>
      <c r="BG56" s="377"/>
      <c r="BH56" s="375"/>
      <c r="BI56" s="376"/>
      <c r="BJ56" s="377"/>
      <c r="BK56" s="375"/>
      <c r="BL56" s="376"/>
      <c r="BM56" s="377"/>
      <c r="BN56" s="375"/>
      <c r="BO56" s="376"/>
      <c r="BP56" s="377"/>
      <c r="BQ56" s="375"/>
      <c r="BR56" s="376"/>
      <c r="BS56" s="377"/>
    </row>
    <row r="57" spans="1:72" ht="18.75" customHeight="1" thickBot="1" x14ac:dyDescent="0.25">
      <c r="H57" s="383"/>
      <c r="I57" s="378"/>
      <c r="J57" s="379"/>
      <c r="K57" s="380"/>
      <c r="L57" s="378"/>
      <c r="M57" s="379"/>
      <c r="N57" s="380"/>
      <c r="O57" s="378"/>
      <c r="P57" s="379"/>
      <c r="Q57" s="380"/>
      <c r="R57" s="378"/>
      <c r="S57" s="379"/>
      <c r="T57" s="380"/>
      <c r="U57" s="378"/>
      <c r="V57" s="379"/>
      <c r="W57" s="380"/>
      <c r="X57" s="378"/>
      <c r="Y57" s="379"/>
      <c r="Z57" s="380"/>
      <c r="AA57" s="378"/>
      <c r="AB57" s="379"/>
      <c r="AC57" s="380"/>
      <c r="AD57" s="378"/>
      <c r="AE57" s="379"/>
      <c r="AF57" s="380"/>
      <c r="AG57" s="378"/>
      <c r="AH57" s="379"/>
      <c r="AI57" s="380"/>
      <c r="AJ57" s="378"/>
      <c r="AK57" s="379"/>
      <c r="AL57" s="380"/>
      <c r="AM57" s="378"/>
      <c r="AN57" s="379"/>
      <c r="AO57" s="380"/>
      <c r="AP57" s="378"/>
      <c r="AQ57" s="379"/>
      <c r="AR57" s="380"/>
      <c r="AS57" s="360"/>
      <c r="AT57" s="361"/>
      <c r="AU57" s="362"/>
      <c r="AV57" s="378"/>
      <c r="AW57" s="379"/>
      <c r="AX57" s="380"/>
      <c r="AY57" s="378"/>
      <c r="AZ57" s="379"/>
      <c r="BA57" s="380"/>
      <c r="BB57" s="378"/>
      <c r="BC57" s="379"/>
      <c r="BD57" s="380"/>
      <c r="BE57" s="378"/>
      <c r="BF57" s="379"/>
      <c r="BG57" s="380"/>
      <c r="BH57" s="378"/>
      <c r="BI57" s="379"/>
      <c r="BJ57" s="380"/>
      <c r="BK57" s="378"/>
      <c r="BL57" s="379"/>
      <c r="BM57" s="380"/>
      <c r="BN57" s="378"/>
      <c r="BO57" s="379"/>
      <c r="BP57" s="380"/>
      <c r="BQ57" s="378"/>
      <c r="BR57" s="379"/>
      <c r="BS57" s="380"/>
    </row>
    <row r="58" spans="1:72" ht="18.75" customHeight="1" thickTop="1" x14ac:dyDescent="0.2">
      <c r="B58" s="2"/>
      <c r="C58" s="2"/>
      <c r="G58" s="2"/>
      <c r="H58" s="381" t="s">
        <v>84</v>
      </c>
      <c r="I58" s="372" t="s">
        <v>195</v>
      </c>
      <c r="J58" s="373"/>
      <c r="K58" s="374"/>
      <c r="L58" s="372"/>
      <c r="M58" s="373"/>
      <c r="N58" s="374"/>
      <c r="O58" s="372"/>
      <c r="P58" s="373"/>
      <c r="Q58" s="374"/>
      <c r="R58" s="372"/>
      <c r="S58" s="373"/>
      <c r="T58" s="374"/>
      <c r="U58" s="372"/>
      <c r="V58" s="373"/>
      <c r="W58" s="374"/>
      <c r="X58" s="372"/>
      <c r="Y58" s="373"/>
      <c r="Z58" s="374"/>
      <c r="AA58" s="372"/>
      <c r="AB58" s="373"/>
      <c r="AC58" s="374"/>
      <c r="AD58" s="372" t="s">
        <v>197</v>
      </c>
      <c r="AE58" s="373"/>
      <c r="AF58" s="374"/>
      <c r="AG58" s="372"/>
      <c r="AH58" s="373"/>
      <c r="AI58" s="374"/>
      <c r="AJ58" s="372" t="s">
        <v>197</v>
      </c>
      <c r="AK58" s="373"/>
      <c r="AL58" s="374"/>
      <c r="AM58" s="372"/>
      <c r="AN58" s="373"/>
      <c r="AO58" s="374"/>
      <c r="AP58" s="372"/>
      <c r="AQ58" s="373"/>
      <c r="AR58" s="374"/>
      <c r="AS58" s="372"/>
      <c r="AT58" s="373"/>
      <c r="AU58" s="374"/>
      <c r="AV58" s="372"/>
      <c r="AW58" s="373"/>
      <c r="AX58" s="374"/>
      <c r="AY58" s="372"/>
      <c r="AZ58" s="373"/>
      <c r="BA58" s="374"/>
      <c r="BB58" s="372"/>
      <c r="BC58" s="373"/>
      <c r="BD58" s="374"/>
      <c r="BE58" s="372" t="s">
        <v>198</v>
      </c>
      <c r="BF58" s="373"/>
      <c r="BG58" s="374"/>
      <c r="BH58" s="372"/>
      <c r="BI58" s="373"/>
      <c r="BJ58" s="374"/>
      <c r="BK58" s="372"/>
      <c r="BL58" s="373"/>
      <c r="BM58" s="374"/>
      <c r="BN58" s="372" t="s">
        <v>198</v>
      </c>
      <c r="BO58" s="373"/>
      <c r="BP58" s="374"/>
      <c r="BQ58" s="372" t="s">
        <v>199</v>
      </c>
      <c r="BR58" s="373"/>
      <c r="BS58" s="374"/>
    </row>
    <row r="59" spans="1:72" ht="18.75" customHeight="1" x14ac:dyDescent="0.2">
      <c r="H59" s="382"/>
      <c r="I59" s="375"/>
      <c r="J59" s="376"/>
      <c r="K59" s="377"/>
      <c r="L59" s="375"/>
      <c r="M59" s="376"/>
      <c r="N59" s="377"/>
      <c r="O59" s="375"/>
      <c r="P59" s="376"/>
      <c r="Q59" s="377"/>
      <c r="R59" s="375"/>
      <c r="S59" s="376"/>
      <c r="T59" s="377"/>
      <c r="U59" s="375"/>
      <c r="V59" s="376"/>
      <c r="W59" s="377"/>
      <c r="X59" s="375"/>
      <c r="Y59" s="376"/>
      <c r="Z59" s="377"/>
      <c r="AA59" s="375"/>
      <c r="AB59" s="376"/>
      <c r="AC59" s="377"/>
      <c r="AD59" s="375"/>
      <c r="AE59" s="376"/>
      <c r="AF59" s="377"/>
      <c r="AG59" s="375"/>
      <c r="AH59" s="376"/>
      <c r="AI59" s="377"/>
      <c r="AJ59" s="375"/>
      <c r="AK59" s="376"/>
      <c r="AL59" s="377"/>
      <c r="AM59" s="375"/>
      <c r="AN59" s="376"/>
      <c r="AO59" s="377"/>
      <c r="AP59" s="375"/>
      <c r="AQ59" s="376"/>
      <c r="AR59" s="377"/>
      <c r="AS59" s="375"/>
      <c r="AT59" s="376"/>
      <c r="AU59" s="377"/>
      <c r="AV59" s="375"/>
      <c r="AW59" s="376"/>
      <c r="AX59" s="377"/>
      <c r="AY59" s="375"/>
      <c r="AZ59" s="376"/>
      <c r="BA59" s="377"/>
      <c r="BB59" s="375"/>
      <c r="BC59" s="376"/>
      <c r="BD59" s="377"/>
      <c r="BE59" s="375"/>
      <c r="BF59" s="376"/>
      <c r="BG59" s="377"/>
      <c r="BH59" s="375"/>
      <c r="BI59" s="376"/>
      <c r="BJ59" s="377"/>
      <c r="BK59" s="375"/>
      <c r="BL59" s="376"/>
      <c r="BM59" s="377"/>
      <c r="BN59" s="375"/>
      <c r="BO59" s="376"/>
      <c r="BP59" s="377"/>
      <c r="BQ59" s="375"/>
      <c r="BR59" s="376"/>
      <c r="BS59" s="377"/>
    </row>
    <row r="60" spans="1:72" ht="18.75" customHeight="1" x14ac:dyDescent="0.2">
      <c r="H60" s="382"/>
      <c r="I60" s="375"/>
      <c r="J60" s="376"/>
      <c r="K60" s="377"/>
      <c r="L60" s="375"/>
      <c r="M60" s="376"/>
      <c r="N60" s="377"/>
      <c r="O60" s="375"/>
      <c r="P60" s="376"/>
      <c r="Q60" s="377"/>
      <c r="R60" s="375"/>
      <c r="S60" s="376"/>
      <c r="T60" s="377"/>
      <c r="U60" s="375"/>
      <c r="V60" s="376"/>
      <c r="W60" s="377"/>
      <c r="X60" s="375"/>
      <c r="Y60" s="376"/>
      <c r="Z60" s="377"/>
      <c r="AA60" s="375"/>
      <c r="AB60" s="376"/>
      <c r="AC60" s="377"/>
      <c r="AD60" s="375"/>
      <c r="AE60" s="376"/>
      <c r="AF60" s="377"/>
      <c r="AG60" s="375"/>
      <c r="AH60" s="376"/>
      <c r="AI60" s="377"/>
      <c r="AJ60" s="375"/>
      <c r="AK60" s="376"/>
      <c r="AL60" s="377"/>
      <c r="AM60" s="375"/>
      <c r="AN60" s="376"/>
      <c r="AO60" s="377"/>
      <c r="AP60" s="375"/>
      <c r="AQ60" s="376"/>
      <c r="AR60" s="377"/>
      <c r="AS60" s="375"/>
      <c r="AT60" s="376"/>
      <c r="AU60" s="377"/>
      <c r="AV60" s="375"/>
      <c r="AW60" s="376"/>
      <c r="AX60" s="377"/>
      <c r="AY60" s="375"/>
      <c r="AZ60" s="376"/>
      <c r="BA60" s="377"/>
      <c r="BB60" s="375"/>
      <c r="BC60" s="376"/>
      <c r="BD60" s="377"/>
      <c r="BE60" s="375"/>
      <c r="BF60" s="376"/>
      <c r="BG60" s="377"/>
      <c r="BH60" s="375"/>
      <c r="BI60" s="376"/>
      <c r="BJ60" s="377"/>
      <c r="BK60" s="375"/>
      <c r="BL60" s="376"/>
      <c r="BM60" s="377"/>
      <c r="BN60" s="375"/>
      <c r="BO60" s="376"/>
      <c r="BP60" s="377"/>
      <c r="BQ60" s="375"/>
      <c r="BR60" s="376"/>
      <c r="BS60" s="377"/>
    </row>
    <row r="61" spans="1:72" ht="18.75" customHeight="1" thickBot="1" x14ac:dyDescent="0.25">
      <c r="B61" s="2"/>
      <c r="C61" s="2"/>
      <c r="G61" s="2"/>
      <c r="H61" s="383"/>
      <c r="I61" s="378"/>
      <c r="J61" s="379"/>
      <c r="K61" s="380"/>
      <c r="L61" s="378"/>
      <c r="M61" s="379"/>
      <c r="N61" s="380"/>
      <c r="O61" s="378"/>
      <c r="P61" s="379"/>
      <c r="Q61" s="380"/>
      <c r="R61" s="378"/>
      <c r="S61" s="379"/>
      <c r="T61" s="380"/>
      <c r="U61" s="378"/>
      <c r="V61" s="379"/>
      <c r="W61" s="380"/>
      <c r="X61" s="378"/>
      <c r="Y61" s="379"/>
      <c r="Z61" s="380"/>
      <c r="AA61" s="378"/>
      <c r="AB61" s="379"/>
      <c r="AC61" s="380"/>
      <c r="AD61" s="378"/>
      <c r="AE61" s="379"/>
      <c r="AF61" s="380"/>
      <c r="AG61" s="378"/>
      <c r="AH61" s="379"/>
      <c r="AI61" s="380"/>
      <c r="AJ61" s="378"/>
      <c r="AK61" s="379"/>
      <c r="AL61" s="380"/>
      <c r="AM61" s="378"/>
      <c r="AN61" s="379"/>
      <c r="AO61" s="380"/>
      <c r="AP61" s="378"/>
      <c r="AQ61" s="379"/>
      <c r="AR61" s="380"/>
      <c r="AS61" s="378"/>
      <c r="AT61" s="379"/>
      <c r="AU61" s="380"/>
      <c r="AV61" s="378"/>
      <c r="AW61" s="379"/>
      <c r="AX61" s="380"/>
      <c r="AY61" s="378"/>
      <c r="AZ61" s="379"/>
      <c r="BA61" s="380"/>
      <c r="BB61" s="378"/>
      <c r="BC61" s="379"/>
      <c r="BD61" s="380"/>
      <c r="BE61" s="378"/>
      <c r="BF61" s="379"/>
      <c r="BG61" s="380"/>
      <c r="BH61" s="378"/>
      <c r="BI61" s="379"/>
      <c r="BJ61" s="380"/>
      <c r="BK61" s="378"/>
      <c r="BL61" s="379"/>
      <c r="BM61" s="380"/>
      <c r="BN61" s="378"/>
      <c r="BO61" s="379"/>
      <c r="BP61" s="380"/>
      <c r="BQ61" s="378"/>
      <c r="BR61" s="379"/>
      <c r="BS61" s="380"/>
    </row>
    <row r="62" spans="1:72" s="191" customFormat="1" ht="13.5" thickTop="1"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row>
    <row r="63" spans="1:72" x14ac:dyDescent="0.2">
      <c r="L63" s="12"/>
      <c r="M63" s="12"/>
      <c r="N63" s="16"/>
      <c r="O63" s="12"/>
      <c r="P63" s="12"/>
      <c r="Q63" s="16"/>
      <c r="R63" s="12"/>
      <c r="S63" s="12"/>
      <c r="T63" s="16"/>
      <c r="U63" s="12"/>
      <c r="V63" s="12"/>
      <c r="W63" s="16"/>
      <c r="X63" s="12"/>
      <c r="Y63" s="12"/>
      <c r="Z63" s="16"/>
      <c r="AA63" s="12"/>
      <c r="AB63" s="12"/>
      <c r="AC63" s="16"/>
      <c r="AD63" s="12"/>
      <c r="AE63" s="12"/>
      <c r="AF63" s="16"/>
      <c r="AG63" s="12"/>
      <c r="AH63" s="12"/>
      <c r="AI63" s="16"/>
      <c r="AJ63" s="12"/>
      <c r="AK63" s="12"/>
      <c r="AL63" s="16"/>
      <c r="AM63" s="12"/>
      <c r="AN63" s="12"/>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row r="64" spans="1:72" x14ac:dyDescent="0.2">
      <c r="L64" s="12"/>
      <c r="M64" s="12"/>
      <c r="N64" s="16"/>
      <c r="O64" s="12"/>
      <c r="P64" s="12"/>
      <c r="Q64" s="16"/>
      <c r="R64" s="12"/>
      <c r="S64" s="12"/>
      <c r="T64" s="16"/>
      <c r="U64" s="12"/>
      <c r="V64" s="12"/>
      <c r="W64" s="16"/>
      <c r="X64" s="12"/>
      <c r="Y64" s="12"/>
      <c r="Z64" s="16"/>
      <c r="AA64" s="12"/>
      <c r="AB64" s="12"/>
      <c r="AC64" s="16"/>
      <c r="AD64" s="12"/>
      <c r="AE64" s="12"/>
      <c r="AF64" s="16"/>
      <c r="AG64" s="12"/>
      <c r="AH64" s="12"/>
      <c r="AI64" s="16"/>
      <c r="AJ64" s="12"/>
      <c r="AK64" s="12"/>
      <c r="AL64" s="16"/>
      <c r="AM64" s="12"/>
      <c r="AN64" s="12"/>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row>
    <row r="65" spans="10:71" x14ac:dyDescent="0.2">
      <c r="J65" s="211"/>
      <c r="L65" s="12"/>
      <c r="M65" s="12"/>
      <c r="N65" s="16"/>
      <c r="O65" s="12"/>
      <c r="P65" s="12"/>
      <c r="Q65" s="16"/>
      <c r="R65" s="12"/>
      <c r="S65" s="12"/>
      <c r="T65" s="16"/>
      <c r="U65" s="12"/>
      <c r="V65" s="12"/>
      <c r="W65" s="16"/>
      <c r="X65" s="12"/>
      <c r="Y65" s="12"/>
      <c r="Z65" s="16"/>
      <c r="AA65" s="12"/>
      <c r="AB65" s="12"/>
      <c r="AC65" s="16"/>
      <c r="AD65" s="12"/>
      <c r="AE65" s="12"/>
      <c r="AF65" s="16"/>
      <c r="AG65" s="12"/>
      <c r="AH65" s="12"/>
      <c r="AI65" s="16"/>
      <c r="AJ65" s="12"/>
      <c r="AK65" s="12"/>
      <c r="AL65" s="16"/>
      <c r="AM65" s="12"/>
      <c r="AN65" s="12"/>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row>
    <row r="66" spans="10:71" x14ac:dyDescent="0.2">
      <c r="L66" s="12"/>
      <c r="M66" s="12"/>
      <c r="N66" s="16"/>
      <c r="O66" s="12"/>
      <c r="P66" s="12"/>
      <c r="Q66" s="16"/>
      <c r="R66" s="12"/>
      <c r="S66" s="12"/>
      <c r="T66" s="16"/>
      <c r="U66" s="12"/>
      <c r="V66" s="12"/>
      <c r="W66" s="16"/>
      <c r="X66" s="12"/>
      <c r="Y66" s="12"/>
      <c r="Z66" s="16"/>
      <c r="AA66" s="12"/>
      <c r="AB66" s="12"/>
      <c r="AC66" s="16"/>
      <c r="AD66" s="12"/>
      <c r="AE66" s="12"/>
      <c r="AF66" s="16"/>
      <c r="AG66" s="12"/>
      <c r="AH66" s="12"/>
      <c r="AI66" s="16"/>
      <c r="AJ66" s="12"/>
      <c r="AK66" s="12"/>
      <c r="AL66" s="16"/>
      <c r="AM66" s="12"/>
      <c r="AN66" s="12"/>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row>
    <row r="67" spans="10:71" x14ac:dyDescent="0.2">
      <c r="L67" s="12"/>
      <c r="M67" s="12"/>
      <c r="N67" s="16"/>
      <c r="O67" s="12"/>
      <c r="P67" s="12"/>
      <c r="Q67" s="16"/>
      <c r="R67" s="12"/>
      <c r="S67" s="12"/>
      <c r="T67" s="16"/>
      <c r="U67" s="12"/>
      <c r="V67" s="12"/>
      <c r="W67" s="16"/>
      <c r="X67" s="12"/>
      <c r="Y67" s="12"/>
      <c r="Z67" s="16"/>
      <c r="AA67" s="12"/>
      <c r="AB67" s="12"/>
      <c r="AC67" s="16"/>
      <c r="AD67" s="12"/>
      <c r="AE67" s="12"/>
      <c r="AF67" s="16"/>
      <c r="AG67" s="12"/>
      <c r="AH67" s="12"/>
      <c r="AI67" s="16"/>
      <c r="AJ67" s="12"/>
      <c r="AK67" s="12"/>
      <c r="AL67" s="16"/>
      <c r="AM67" s="12"/>
      <c r="AN67" s="12"/>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row>
    <row r="68" spans="10:71" x14ac:dyDescent="0.2">
      <c r="L68" s="12"/>
      <c r="M68" s="12"/>
      <c r="N68" s="16"/>
      <c r="O68" s="12"/>
      <c r="P68" s="12"/>
      <c r="Q68" s="16"/>
      <c r="R68" s="12"/>
      <c r="S68" s="12"/>
      <c r="T68" s="16"/>
      <c r="U68" s="12"/>
      <c r="V68" s="12"/>
      <c r="W68" s="16"/>
      <c r="X68" s="12"/>
      <c r="Y68" s="12"/>
      <c r="Z68" s="16"/>
      <c r="AA68" s="12"/>
      <c r="AB68" s="12"/>
      <c r="AC68" s="16"/>
      <c r="AD68" s="12"/>
      <c r="AE68" s="12"/>
      <c r="AF68" s="16"/>
      <c r="AG68" s="12"/>
      <c r="AH68" s="12"/>
      <c r="AI68" s="16"/>
      <c r="AJ68" s="12"/>
      <c r="AK68" s="12"/>
      <c r="AL68" s="16"/>
      <c r="AM68" s="12"/>
      <c r="AN68" s="12"/>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row>
    <row r="69" spans="10:71" x14ac:dyDescent="0.2">
      <c r="L69" s="12"/>
      <c r="M69" s="12"/>
      <c r="N69" s="16"/>
      <c r="O69" s="12"/>
      <c r="P69" s="12"/>
      <c r="Q69" s="16"/>
      <c r="R69" s="12"/>
      <c r="S69" s="12"/>
      <c r="T69" s="16"/>
      <c r="U69" s="12"/>
      <c r="V69" s="12"/>
      <c r="W69" s="16"/>
      <c r="X69" s="12"/>
      <c r="Y69" s="12"/>
      <c r="Z69" s="16"/>
      <c r="AA69" s="12"/>
      <c r="AB69" s="12"/>
      <c r="AC69" s="16"/>
      <c r="AD69" s="12"/>
      <c r="AE69" s="12"/>
      <c r="AF69" s="16"/>
      <c r="AG69" s="12"/>
      <c r="AH69" s="12"/>
      <c r="AI69" s="16"/>
      <c r="AJ69" s="12"/>
      <c r="AK69" s="12"/>
      <c r="AL69" s="16"/>
      <c r="AM69" s="12"/>
      <c r="AN69" s="12"/>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row>
    <row r="70" spans="10:71" x14ac:dyDescent="0.2">
      <c r="L70" s="12"/>
      <c r="M70" s="12"/>
      <c r="N70" s="16"/>
      <c r="O70" s="12"/>
      <c r="P70" s="12"/>
      <c r="Q70" s="16"/>
      <c r="R70" s="12"/>
      <c r="S70" s="12"/>
      <c r="T70" s="16"/>
      <c r="U70" s="12"/>
      <c r="V70" s="12"/>
      <c r="W70" s="16"/>
      <c r="X70" s="12"/>
      <c r="Y70" s="12"/>
      <c r="Z70" s="16"/>
      <c r="AA70" s="12"/>
      <c r="AB70" s="12"/>
      <c r="AC70" s="16"/>
      <c r="AD70" s="12"/>
      <c r="AE70" s="12"/>
      <c r="AF70" s="16"/>
      <c r="AG70" s="12"/>
      <c r="AH70" s="12"/>
      <c r="AI70" s="16"/>
      <c r="AJ70" s="12"/>
      <c r="AK70" s="12"/>
      <c r="AL70" s="16"/>
      <c r="AM70" s="12"/>
      <c r="AN70" s="12"/>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row>
    <row r="71" spans="10:71" x14ac:dyDescent="0.2">
      <c r="L71" s="12"/>
      <c r="M71" s="12"/>
      <c r="N71" s="16"/>
      <c r="O71" s="12"/>
      <c r="P71" s="12"/>
      <c r="Q71" s="16"/>
      <c r="R71" s="12"/>
      <c r="S71" s="12"/>
      <c r="T71" s="16"/>
      <c r="U71" s="12"/>
      <c r="V71" s="12"/>
      <c r="W71" s="16"/>
      <c r="X71" s="12"/>
      <c r="Y71" s="12"/>
      <c r="Z71" s="16"/>
      <c r="AA71" s="12"/>
      <c r="AB71" s="12"/>
      <c r="AC71" s="16"/>
      <c r="AD71" s="12"/>
      <c r="AE71" s="12"/>
      <c r="AF71" s="16"/>
      <c r="AG71" s="12"/>
      <c r="AH71" s="12"/>
      <c r="AI71" s="16"/>
      <c r="AJ71" s="12"/>
      <c r="AK71" s="12"/>
      <c r="AL71" s="16"/>
      <c r="AM71" s="12"/>
      <c r="AN71" s="12"/>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row>
    <row r="72" spans="10:71" x14ac:dyDescent="0.2">
      <c r="L72" s="12"/>
      <c r="M72" s="12"/>
      <c r="N72" s="16"/>
      <c r="O72" s="12"/>
      <c r="P72" s="12"/>
      <c r="Q72" s="16"/>
      <c r="R72" s="12"/>
      <c r="S72" s="12"/>
      <c r="T72" s="16"/>
      <c r="U72" s="12"/>
      <c r="V72" s="12"/>
      <c r="W72" s="16"/>
      <c r="X72" s="12"/>
      <c r="Y72" s="12"/>
      <c r="Z72" s="16"/>
      <c r="AA72" s="12"/>
      <c r="AB72" s="12"/>
      <c r="AC72" s="16"/>
      <c r="AD72" s="12"/>
      <c r="AE72" s="12"/>
      <c r="AF72" s="16"/>
      <c r="AG72" s="12"/>
      <c r="AH72" s="12"/>
      <c r="AI72" s="16"/>
      <c r="AJ72" s="12"/>
      <c r="AK72" s="12"/>
      <c r="AL72" s="16"/>
      <c r="AM72" s="12"/>
      <c r="AN72" s="12"/>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row>
    <row r="73" spans="10:71" x14ac:dyDescent="0.2">
      <c r="L73" s="12"/>
      <c r="M73" s="12"/>
      <c r="N73" s="16"/>
      <c r="O73" s="12"/>
      <c r="P73" s="12"/>
      <c r="Q73" s="16"/>
      <c r="R73" s="12"/>
      <c r="S73" s="12"/>
      <c r="T73" s="16"/>
      <c r="U73" s="12"/>
      <c r="V73" s="12"/>
      <c r="W73" s="16"/>
      <c r="X73" s="12"/>
      <c r="Y73" s="12"/>
      <c r="Z73" s="16"/>
      <c r="AA73" s="12"/>
      <c r="AB73" s="12"/>
      <c r="AC73" s="16"/>
      <c r="AD73" s="12"/>
      <c r="AE73" s="12"/>
      <c r="AF73" s="16"/>
      <c r="AG73" s="12"/>
      <c r="AH73" s="12"/>
      <c r="AI73" s="16"/>
      <c r="AJ73" s="12"/>
      <c r="AK73" s="12"/>
      <c r="AL73" s="16"/>
      <c r="AM73" s="12"/>
      <c r="AN73" s="12"/>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row>
    <row r="74" spans="10:71" x14ac:dyDescent="0.2">
      <c r="L74" s="12"/>
      <c r="M74" s="12"/>
      <c r="N74" s="16"/>
      <c r="O74" s="12"/>
      <c r="P74" s="12"/>
      <c r="Q74" s="16"/>
      <c r="R74" s="12"/>
      <c r="S74" s="12"/>
      <c r="T74" s="16"/>
      <c r="U74" s="12"/>
      <c r="V74" s="12"/>
      <c r="W74" s="16"/>
      <c r="X74" s="12"/>
      <c r="Y74" s="12"/>
      <c r="Z74" s="16"/>
      <c r="AA74" s="12"/>
      <c r="AB74" s="12"/>
      <c r="AC74" s="16"/>
      <c r="AD74" s="12"/>
      <c r="AE74" s="12"/>
      <c r="AF74" s="16"/>
      <c r="AG74" s="12"/>
      <c r="AH74" s="12"/>
      <c r="AI74" s="16"/>
      <c r="AJ74" s="12"/>
      <c r="AK74" s="12"/>
      <c r="AL74" s="16"/>
      <c r="AM74" s="12"/>
      <c r="AN74" s="12"/>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0:71" x14ac:dyDescent="0.2">
      <c r="L75" s="12"/>
      <c r="M75" s="12"/>
      <c r="N75" s="16"/>
      <c r="O75" s="12"/>
      <c r="P75" s="12"/>
      <c r="Q75" s="16"/>
      <c r="R75" s="12"/>
      <c r="S75" s="12"/>
      <c r="T75" s="16"/>
      <c r="U75" s="12"/>
      <c r="V75" s="12"/>
      <c r="W75" s="16"/>
      <c r="X75" s="12"/>
      <c r="Y75" s="12"/>
      <c r="Z75" s="16"/>
      <c r="AA75" s="12"/>
      <c r="AB75" s="12"/>
      <c r="AC75" s="16"/>
      <c r="AD75" s="12"/>
      <c r="AE75" s="12"/>
      <c r="AF75" s="16"/>
      <c r="AG75" s="12"/>
      <c r="AH75" s="12"/>
      <c r="AI75" s="16"/>
      <c r="AJ75" s="12"/>
      <c r="AK75" s="12"/>
      <c r="AL75" s="16"/>
      <c r="AM75" s="12"/>
      <c r="AN75" s="12"/>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row>
    <row r="76" spans="10:71" x14ac:dyDescent="0.2">
      <c r="L76" s="12"/>
      <c r="M76" s="12"/>
      <c r="N76" s="16"/>
      <c r="O76" s="12"/>
      <c r="P76" s="12"/>
      <c r="Q76" s="16"/>
      <c r="R76" s="12"/>
      <c r="S76" s="12"/>
      <c r="T76" s="16"/>
      <c r="U76" s="12"/>
      <c r="V76" s="12"/>
      <c r="W76" s="16"/>
      <c r="X76" s="12"/>
      <c r="Y76" s="12"/>
      <c r="Z76" s="16"/>
      <c r="AA76" s="12"/>
      <c r="AB76" s="12"/>
      <c r="AC76" s="16"/>
      <c r="AD76" s="12"/>
      <c r="AE76" s="12"/>
      <c r="AF76" s="16"/>
      <c r="AG76" s="12"/>
      <c r="AH76" s="12"/>
      <c r="AI76" s="16"/>
      <c r="AJ76" s="12"/>
      <c r="AK76" s="12"/>
      <c r="AL76" s="16"/>
      <c r="AM76" s="12"/>
      <c r="AN76" s="12"/>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row>
    <row r="77" spans="10:71" x14ac:dyDescent="0.2">
      <c r="L77" s="12"/>
      <c r="M77" s="12"/>
      <c r="N77" s="16"/>
      <c r="O77" s="12"/>
      <c r="P77" s="12"/>
      <c r="Q77" s="16"/>
      <c r="R77" s="12"/>
      <c r="S77" s="12"/>
      <c r="T77" s="16"/>
      <c r="U77" s="12"/>
      <c r="V77" s="12"/>
      <c r="W77" s="16"/>
      <c r="X77" s="12"/>
      <c r="Y77" s="12"/>
      <c r="Z77" s="16"/>
      <c r="AA77" s="12"/>
      <c r="AB77" s="12"/>
      <c r="AC77" s="16"/>
      <c r="AD77" s="12"/>
      <c r="AE77" s="12"/>
      <c r="AF77" s="16"/>
      <c r="AG77" s="12"/>
      <c r="AH77" s="12"/>
      <c r="AI77" s="16"/>
      <c r="AJ77" s="12"/>
      <c r="AK77" s="12"/>
      <c r="AL77" s="16"/>
      <c r="AM77" s="12"/>
      <c r="AN77" s="12"/>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row>
    <row r="78" spans="10:71" x14ac:dyDescent="0.2">
      <c r="L78" s="12"/>
      <c r="M78" s="12"/>
      <c r="N78" s="16"/>
      <c r="O78" s="12"/>
      <c r="P78" s="12"/>
      <c r="Q78" s="16"/>
      <c r="R78" s="12"/>
      <c r="S78" s="12"/>
      <c r="T78" s="16"/>
      <c r="U78" s="12"/>
      <c r="V78" s="12"/>
      <c r="W78" s="16"/>
      <c r="X78" s="12"/>
      <c r="Y78" s="12"/>
      <c r="Z78" s="16"/>
      <c r="AA78" s="12"/>
      <c r="AB78" s="12"/>
      <c r="AC78" s="16"/>
      <c r="AD78" s="12"/>
      <c r="AE78" s="12"/>
      <c r="AF78" s="16"/>
      <c r="AG78" s="12"/>
      <c r="AH78" s="12"/>
      <c r="AI78" s="16"/>
      <c r="AJ78" s="12"/>
      <c r="AK78" s="12"/>
      <c r="AL78" s="16"/>
      <c r="AM78" s="12"/>
      <c r="AN78" s="12"/>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row>
    <row r="79" spans="10:71" x14ac:dyDescent="0.2">
      <c r="L79" s="12"/>
      <c r="M79" s="12"/>
      <c r="N79" s="16"/>
      <c r="O79" s="12"/>
      <c r="P79" s="12"/>
      <c r="Q79" s="16"/>
      <c r="R79" s="12"/>
      <c r="S79" s="12"/>
      <c r="T79" s="16"/>
      <c r="U79" s="12"/>
      <c r="V79" s="12"/>
      <c r="W79" s="16"/>
      <c r="X79" s="12"/>
      <c r="Y79" s="12"/>
      <c r="Z79" s="16"/>
      <c r="AA79" s="12"/>
      <c r="AB79" s="12"/>
      <c r="AC79" s="16"/>
      <c r="AD79" s="12"/>
      <c r="AE79" s="12"/>
      <c r="AF79" s="16"/>
      <c r="AG79" s="12"/>
      <c r="AH79" s="12"/>
      <c r="AI79" s="16"/>
      <c r="AJ79" s="12"/>
      <c r="AK79" s="12"/>
      <c r="AL79" s="16"/>
      <c r="AM79" s="12"/>
      <c r="AN79" s="12"/>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row>
    <row r="80" spans="10:71" x14ac:dyDescent="0.2">
      <c r="L80" s="12"/>
      <c r="M80" s="12"/>
      <c r="N80" s="16"/>
      <c r="O80" s="12"/>
      <c r="P80" s="12"/>
      <c r="Q80" s="16"/>
      <c r="R80" s="12"/>
      <c r="S80" s="12"/>
      <c r="T80" s="16"/>
      <c r="U80" s="12"/>
      <c r="V80" s="12"/>
      <c r="W80" s="16"/>
      <c r="X80" s="12"/>
      <c r="Y80" s="12"/>
      <c r="Z80" s="16"/>
      <c r="AA80" s="12"/>
      <c r="AB80" s="12"/>
      <c r="AC80" s="16"/>
      <c r="AD80" s="12"/>
      <c r="AE80" s="12"/>
      <c r="AF80" s="16"/>
      <c r="AG80" s="12"/>
      <c r="AH80" s="12"/>
      <c r="AI80" s="16"/>
      <c r="AJ80" s="12"/>
      <c r="AK80" s="12"/>
      <c r="AL80" s="16"/>
      <c r="AM80" s="12"/>
      <c r="AN80" s="12"/>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row>
    <row r="81" spans="12:71" x14ac:dyDescent="0.2">
      <c r="L81" s="12"/>
      <c r="M81" s="12"/>
      <c r="N81" s="16"/>
      <c r="O81" s="12"/>
      <c r="P81" s="12"/>
      <c r="Q81" s="16"/>
      <c r="R81" s="12"/>
      <c r="S81" s="12"/>
      <c r="T81" s="16"/>
      <c r="U81" s="12"/>
      <c r="V81" s="12"/>
      <c r="W81" s="16"/>
      <c r="X81" s="12"/>
      <c r="Y81" s="12"/>
      <c r="Z81" s="16"/>
      <c r="AA81" s="12"/>
      <c r="AB81" s="12"/>
      <c r="AC81" s="16"/>
      <c r="AD81" s="12"/>
      <c r="AE81" s="12"/>
      <c r="AF81" s="16"/>
      <c r="AG81" s="12"/>
      <c r="AH81" s="12"/>
      <c r="AI81" s="16"/>
      <c r="AJ81" s="12"/>
      <c r="AK81" s="12"/>
      <c r="AL81" s="16"/>
      <c r="AM81" s="12"/>
      <c r="AN81" s="12"/>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row>
    <row r="82" spans="12:71" x14ac:dyDescent="0.2">
      <c r="L82" s="12"/>
      <c r="M82" s="12"/>
      <c r="N82" s="16"/>
      <c r="O82" s="12"/>
      <c r="P82" s="12"/>
      <c r="Q82" s="16"/>
      <c r="R82" s="12"/>
      <c r="S82" s="12"/>
      <c r="T82" s="16"/>
      <c r="U82" s="12"/>
      <c r="V82" s="12"/>
      <c r="W82" s="16"/>
      <c r="X82" s="12"/>
      <c r="Y82" s="12"/>
      <c r="Z82" s="16"/>
      <c r="AA82" s="12"/>
      <c r="AB82" s="12"/>
      <c r="AC82" s="16"/>
      <c r="AD82" s="12"/>
      <c r="AE82" s="12"/>
      <c r="AF82" s="16"/>
      <c r="AG82" s="12"/>
      <c r="AH82" s="12"/>
      <c r="AI82" s="16"/>
      <c r="AJ82" s="12"/>
      <c r="AK82" s="12"/>
      <c r="AL82" s="16"/>
      <c r="AM82" s="12"/>
      <c r="AN82" s="12"/>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row>
    <row r="83" spans="12:71" x14ac:dyDescent="0.2">
      <c r="L83" s="12"/>
      <c r="M83" s="12"/>
      <c r="N83" s="16"/>
      <c r="O83" s="12"/>
      <c r="P83" s="12"/>
      <c r="Q83" s="16"/>
      <c r="R83" s="12"/>
      <c r="S83" s="12"/>
      <c r="T83" s="16"/>
      <c r="U83" s="12"/>
      <c r="V83" s="12"/>
      <c r="W83" s="16"/>
      <c r="X83" s="12"/>
      <c r="Y83" s="12"/>
      <c r="Z83" s="16"/>
      <c r="AA83" s="12"/>
      <c r="AB83" s="12"/>
      <c r="AC83" s="16"/>
      <c r="AD83" s="12"/>
      <c r="AE83" s="12"/>
      <c r="AF83" s="16"/>
      <c r="AG83" s="12"/>
      <c r="AH83" s="12"/>
      <c r="AI83" s="16"/>
      <c r="AJ83" s="12"/>
      <c r="AK83" s="12"/>
      <c r="AL83" s="16"/>
      <c r="AM83" s="12"/>
      <c r="AN83" s="12"/>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row>
    <row r="84" spans="12:71" x14ac:dyDescent="0.2">
      <c r="L84" s="12"/>
      <c r="M84" s="12"/>
      <c r="N84" s="16"/>
      <c r="O84" s="12"/>
      <c r="P84" s="12"/>
      <c r="Q84" s="16"/>
      <c r="R84" s="12"/>
      <c r="S84" s="12"/>
      <c r="T84" s="16"/>
      <c r="U84" s="12"/>
      <c r="V84" s="12"/>
      <c r="W84" s="16"/>
      <c r="X84" s="12"/>
      <c r="Y84" s="12"/>
      <c r="Z84" s="16"/>
      <c r="AA84" s="12"/>
      <c r="AB84" s="12"/>
      <c r="AC84" s="16"/>
      <c r="AD84" s="12"/>
      <c r="AE84" s="12"/>
      <c r="AF84" s="16"/>
      <c r="AG84" s="12"/>
      <c r="AH84" s="12"/>
      <c r="AI84" s="16"/>
      <c r="AJ84" s="12"/>
      <c r="AK84" s="12"/>
      <c r="AL84" s="16"/>
      <c r="AM84" s="12"/>
      <c r="AN84" s="12"/>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row>
    <row r="85" spans="12:71" x14ac:dyDescent="0.2">
      <c r="L85" s="12"/>
      <c r="M85" s="12"/>
      <c r="N85" s="16"/>
      <c r="O85" s="12"/>
      <c r="P85" s="12"/>
      <c r="Q85" s="16"/>
      <c r="R85" s="12"/>
      <c r="S85" s="12"/>
      <c r="T85" s="16"/>
      <c r="U85" s="12"/>
      <c r="V85" s="12"/>
      <c r="W85" s="16"/>
      <c r="X85" s="12"/>
      <c r="Y85" s="12"/>
      <c r="Z85" s="16"/>
      <c r="AA85" s="12"/>
      <c r="AB85" s="12"/>
      <c r="AC85" s="16"/>
      <c r="AD85" s="12"/>
      <c r="AE85" s="12"/>
      <c r="AF85" s="16"/>
      <c r="AG85" s="12"/>
      <c r="AH85" s="12"/>
      <c r="AI85" s="16"/>
      <c r="AJ85" s="12"/>
      <c r="AK85" s="12"/>
      <c r="AL85" s="16"/>
      <c r="AM85" s="12"/>
      <c r="AN85" s="12"/>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row>
    <row r="86" spans="12:71" x14ac:dyDescent="0.2">
      <c r="L86" s="12"/>
      <c r="M86" s="12"/>
      <c r="N86" s="16"/>
      <c r="O86" s="12"/>
      <c r="P86" s="12"/>
      <c r="Q86" s="16"/>
      <c r="R86" s="12"/>
      <c r="S86" s="12"/>
      <c r="T86" s="16"/>
      <c r="U86" s="12"/>
      <c r="V86" s="12"/>
      <c r="W86" s="16"/>
      <c r="X86" s="12"/>
      <c r="Y86" s="12"/>
      <c r="Z86" s="16"/>
      <c r="AA86" s="12"/>
      <c r="AB86" s="12"/>
      <c r="AC86" s="16"/>
      <c r="AD86" s="12"/>
      <c r="AE86" s="12"/>
      <c r="AF86" s="16"/>
      <c r="AG86" s="12"/>
      <c r="AH86" s="12"/>
      <c r="AI86" s="16"/>
      <c r="AJ86" s="12"/>
      <c r="AK86" s="12"/>
      <c r="AL86" s="16"/>
      <c r="AM86" s="12"/>
      <c r="AN86" s="12"/>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row>
    <row r="87" spans="12:71" x14ac:dyDescent="0.2">
      <c r="L87" s="12"/>
      <c r="M87" s="12"/>
      <c r="N87" s="16"/>
      <c r="O87" s="12"/>
      <c r="P87" s="12"/>
      <c r="Q87" s="16"/>
      <c r="R87" s="12"/>
      <c r="S87" s="12"/>
      <c r="T87" s="16"/>
      <c r="U87" s="12"/>
      <c r="V87" s="12"/>
      <c r="W87" s="16"/>
      <c r="X87" s="12"/>
      <c r="Y87" s="12"/>
      <c r="Z87" s="16"/>
      <c r="AA87" s="12"/>
      <c r="AB87" s="12"/>
      <c r="AC87" s="16"/>
      <c r="AD87" s="12"/>
      <c r="AE87" s="12"/>
      <c r="AF87" s="16"/>
      <c r="AG87" s="12"/>
      <c r="AH87" s="12"/>
      <c r="AI87" s="16"/>
      <c r="AJ87" s="12"/>
      <c r="AK87" s="12"/>
      <c r="AL87" s="16"/>
      <c r="AM87" s="12"/>
      <c r="AN87" s="12"/>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row>
    <row r="88" spans="12:71" x14ac:dyDescent="0.2">
      <c r="L88" s="12"/>
      <c r="M88" s="12"/>
      <c r="N88" s="16"/>
      <c r="O88" s="12"/>
      <c r="P88" s="12"/>
      <c r="Q88" s="16"/>
      <c r="R88" s="12"/>
      <c r="S88" s="12"/>
      <c r="T88" s="16"/>
      <c r="U88" s="12"/>
      <c r="V88" s="12"/>
      <c r="W88" s="16"/>
      <c r="X88" s="12"/>
      <c r="Y88" s="12"/>
      <c r="Z88" s="16"/>
      <c r="AA88" s="12"/>
      <c r="AB88" s="12"/>
      <c r="AC88" s="16"/>
      <c r="AD88" s="12"/>
      <c r="AE88" s="12"/>
      <c r="AF88" s="16"/>
      <c r="AG88" s="12"/>
      <c r="AH88" s="12"/>
      <c r="AI88" s="16"/>
      <c r="AJ88" s="12"/>
      <c r="AK88" s="12"/>
      <c r="AL88" s="16"/>
      <c r="AM88" s="12"/>
      <c r="AN88" s="12"/>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row>
    <row r="89" spans="12:71" x14ac:dyDescent="0.2">
      <c r="L89" s="12"/>
      <c r="M89" s="12"/>
      <c r="N89" s="16"/>
      <c r="O89" s="12"/>
      <c r="P89" s="12"/>
      <c r="Q89" s="16"/>
      <c r="R89" s="12"/>
      <c r="S89" s="12"/>
      <c r="T89" s="16"/>
      <c r="U89" s="12"/>
      <c r="V89" s="12"/>
      <c r="W89" s="16"/>
      <c r="X89" s="12"/>
      <c r="Y89" s="12"/>
      <c r="Z89" s="16"/>
      <c r="AA89" s="12"/>
      <c r="AB89" s="12"/>
      <c r="AC89" s="16"/>
      <c r="AD89" s="12"/>
      <c r="AE89" s="12"/>
      <c r="AF89" s="16"/>
      <c r="AG89" s="12"/>
      <c r="AH89" s="12"/>
      <c r="AI89" s="16"/>
      <c r="AJ89" s="12"/>
      <c r="AK89" s="12"/>
      <c r="AL89" s="16"/>
      <c r="AM89" s="12"/>
      <c r="AN89" s="12"/>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row>
    <row r="90" spans="12:71" x14ac:dyDescent="0.2">
      <c r="L90" s="12"/>
      <c r="M90" s="12"/>
      <c r="N90" s="16"/>
      <c r="O90" s="12"/>
      <c r="P90" s="12"/>
      <c r="Q90" s="16"/>
      <c r="R90" s="12"/>
      <c r="S90" s="12"/>
      <c r="T90" s="16"/>
      <c r="U90" s="12"/>
      <c r="V90" s="12"/>
      <c r="W90" s="16"/>
      <c r="X90" s="12"/>
      <c r="Y90" s="12"/>
      <c r="Z90" s="16"/>
      <c r="AA90" s="12"/>
      <c r="AB90" s="12"/>
      <c r="AC90" s="16"/>
      <c r="AD90" s="12"/>
      <c r="AE90" s="12"/>
      <c r="AF90" s="16"/>
      <c r="AG90" s="12"/>
      <c r="AH90" s="12"/>
      <c r="AI90" s="16"/>
      <c r="AJ90" s="12"/>
      <c r="AK90" s="12"/>
      <c r="AL90" s="16"/>
      <c r="AM90" s="12"/>
      <c r="AN90" s="12"/>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row>
    <row r="91" spans="12:71" x14ac:dyDescent="0.2">
      <c r="L91" s="12"/>
      <c r="M91" s="12"/>
      <c r="N91" s="16"/>
      <c r="O91" s="12"/>
      <c r="P91" s="12"/>
      <c r="Q91" s="16"/>
      <c r="R91" s="12"/>
      <c r="S91" s="12"/>
      <c r="T91" s="16"/>
      <c r="U91" s="12"/>
      <c r="V91" s="12"/>
      <c r="W91" s="16"/>
      <c r="X91" s="12"/>
      <c r="Y91" s="12"/>
      <c r="Z91" s="16"/>
      <c r="AA91" s="12"/>
      <c r="AB91" s="12"/>
      <c r="AC91" s="16"/>
      <c r="AD91" s="12"/>
      <c r="AE91" s="12"/>
      <c r="AF91" s="16"/>
      <c r="AG91" s="12"/>
      <c r="AH91" s="12"/>
      <c r="AI91" s="16"/>
      <c r="AJ91" s="12"/>
      <c r="AK91" s="12"/>
      <c r="AL91" s="16"/>
      <c r="AM91" s="12"/>
      <c r="AN91" s="12"/>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row r="92" spans="12:71" x14ac:dyDescent="0.2">
      <c r="L92" s="12"/>
      <c r="M92" s="12"/>
      <c r="N92" s="16"/>
      <c r="O92" s="12"/>
      <c r="P92" s="12"/>
      <c r="Q92" s="16"/>
      <c r="R92" s="12"/>
      <c r="S92" s="12"/>
      <c r="T92" s="16"/>
      <c r="U92" s="12"/>
      <c r="V92" s="12"/>
      <c r="W92" s="16"/>
      <c r="X92" s="12"/>
      <c r="Y92" s="12"/>
      <c r="Z92" s="16"/>
      <c r="AA92" s="12"/>
      <c r="AB92" s="12"/>
      <c r="AC92" s="16"/>
      <c r="AD92" s="12"/>
      <c r="AE92" s="12"/>
      <c r="AF92" s="16"/>
      <c r="AG92" s="12"/>
      <c r="AH92" s="12"/>
      <c r="AI92" s="16"/>
      <c r="AJ92" s="12"/>
      <c r="AK92" s="12"/>
      <c r="AL92" s="16"/>
      <c r="AM92" s="12"/>
      <c r="AN92" s="12"/>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row r="93" spans="12:71" x14ac:dyDescent="0.2">
      <c r="L93" s="12"/>
      <c r="M93" s="12"/>
      <c r="N93" s="16"/>
      <c r="O93" s="12"/>
      <c r="P93" s="12"/>
      <c r="Q93" s="16"/>
      <c r="R93" s="12"/>
      <c r="S93" s="12"/>
      <c r="T93" s="16"/>
      <c r="U93" s="12"/>
      <c r="V93" s="12"/>
      <c r="W93" s="16"/>
      <c r="X93" s="12"/>
      <c r="Y93" s="12"/>
      <c r="Z93" s="16"/>
      <c r="AA93" s="12"/>
      <c r="AB93" s="12"/>
      <c r="AC93" s="16"/>
      <c r="AD93" s="12"/>
      <c r="AE93" s="12"/>
      <c r="AF93" s="16"/>
      <c r="AG93" s="12"/>
      <c r="AH93" s="12"/>
      <c r="AI93" s="16"/>
      <c r="AJ93" s="12"/>
      <c r="AK93" s="12"/>
      <c r="AL93" s="16"/>
      <c r="AM93" s="12"/>
      <c r="AN93" s="12"/>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row r="94" spans="12:71" x14ac:dyDescent="0.2">
      <c r="L94" s="12"/>
      <c r="M94" s="12"/>
      <c r="N94" s="16"/>
      <c r="O94" s="12"/>
      <c r="P94" s="12"/>
      <c r="Q94" s="16"/>
      <c r="R94" s="12"/>
      <c r="S94" s="12"/>
      <c r="T94" s="16"/>
      <c r="U94" s="12"/>
      <c r="V94" s="12"/>
      <c r="W94" s="16"/>
      <c r="X94" s="12"/>
      <c r="Y94" s="12"/>
      <c r="Z94" s="16"/>
      <c r="AA94" s="12"/>
      <c r="AB94" s="12"/>
      <c r="AC94" s="16"/>
      <c r="AD94" s="12"/>
      <c r="AE94" s="12"/>
      <c r="AF94" s="16"/>
      <c r="AG94" s="12"/>
      <c r="AH94" s="12"/>
      <c r="AI94" s="16"/>
      <c r="AJ94" s="12"/>
      <c r="AK94" s="12"/>
      <c r="AL94" s="16"/>
      <c r="AM94" s="12"/>
      <c r="AN94" s="12"/>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row>
    <row r="95" spans="12:71" x14ac:dyDescent="0.2">
      <c r="L95" s="12"/>
      <c r="M95" s="12"/>
      <c r="N95" s="16"/>
      <c r="O95" s="12"/>
      <c r="P95" s="12"/>
      <c r="Q95" s="16"/>
      <c r="R95" s="12"/>
      <c r="S95" s="12"/>
      <c r="T95" s="16"/>
      <c r="U95" s="12"/>
      <c r="V95" s="12"/>
      <c r="W95" s="16"/>
      <c r="X95" s="12"/>
      <c r="Y95" s="12"/>
      <c r="Z95" s="16"/>
      <c r="AA95" s="12"/>
      <c r="AB95" s="12"/>
      <c r="AC95" s="16"/>
      <c r="AD95" s="12"/>
      <c r="AE95" s="12"/>
      <c r="AF95" s="16"/>
      <c r="AG95" s="12"/>
      <c r="AH95" s="12"/>
      <c r="AI95" s="16"/>
      <c r="AJ95" s="12"/>
      <c r="AK95" s="12"/>
      <c r="AL95" s="16"/>
      <c r="AM95" s="12"/>
      <c r="AN95" s="12"/>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row>
    <row r="96" spans="12:71" x14ac:dyDescent="0.2">
      <c r="L96" s="12"/>
      <c r="M96" s="12"/>
      <c r="N96" s="16"/>
      <c r="O96" s="12"/>
      <c r="P96" s="12"/>
      <c r="Q96" s="16"/>
      <c r="R96" s="12"/>
      <c r="S96" s="12"/>
      <c r="T96" s="16"/>
      <c r="U96" s="12"/>
      <c r="V96" s="12"/>
      <c r="W96" s="16"/>
      <c r="X96" s="12"/>
      <c r="Y96" s="12"/>
      <c r="Z96" s="16"/>
      <c r="AA96" s="12"/>
      <c r="AB96" s="12"/>
      <c r="AC96" s="16"/>
      <c r="AD96" s="12"/>
      <c r="AE96" s="12"/>
      <c r="AF96" s="16"/>
      <c r="AG96" s="12"/>
      <c r="AH96" s="12"/>
      <c r="AI96" s="16"/>
      <c r="AJ96" s="12"/>
      <c r="AK96" s="12"/>
      <c r="AL96" s="16"/>
      <c r="AM96" s="12"/>
      <c r="AN96" s="12"/>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row>
    <row r="97" spans="12:71" x14ac:dyDescent="0.2">
      <c r="L97" s="12"/>
      <c r="M97" s="12"/>
      <c r="N97" s="16"/>
      <c r="O97" s="12"/>
      <c r="P97" s="12"/>
      <c r="Q97" s="16"/>
      <c r="R97" s="12"/>
      <c r="S97" s="12"/>
      <c r="T97" s="16"/>
      <c r="U97" s="12"/>
      <c r="V97" s="12"/>
      <c r="W97" s="16"/>
      <c r="X97" s="12"/>
      <c r="Y97" s="12"/>
      <c r="Z97" s="16"/>
      <c r="AA97" s="12"/>
      <c r="AB97" s="12"/>
      <c r="AC97" s="16"/>
      <c r="AD97" s="12"/>
      <c r="AE97" s="12"/>
      <c r="AF97" s="16"/>
      <c r="AG97" s="12"/>
      <c r="AH97" s="12"/>
      <c r="AI97" s="16"/>
      <c r="AJ97" s="12"/>
      <c r="AK97" s="12"/>
      <c r="AL97" s="16"/>
      <c r="AM97" s="12"/>
      <c r="AN97" s="12"/>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row>
    <row r="98" spans="12:71" x14ac:dyDescent="0.2">
      <c r="L98" s="12"/>
      <c r="M98" s="12"/>
      <c r="N98" s="16"/>
      <c r="O98" s="12"/>
      <c r="P98" s="12"/>
      <c r="Q98" s="16"/>
      <c r="R98" s="12"/>
      <c r="S98" s="12"/>
      <c r="T98" s="16"/>
      <c r="U98" s="12"/>
      <c r="V98" s="12"/>
      <c r="W98" s="16"/>
      <c r="X98" s="12"/>
      <c r="Y98" s="12"/>
      <c r="Z98" s="16"/>
      <c r="AA98" s="12"/>
      <c r="AB98" s="12"/>
      <c r="AC98" s="16"/>
      <c r="AD98" s="12"/>
      <c r="AE98" s="12"/>
      <c r="AF98" s="16"/>
      <c r="AG98" s="12"/>
      <c r="AH98" s="12"/>
      <c r="AI98" s="16"/>
      <c r="AJ98" s="12"/>
      <c r="AK98" s="12"/>
      <c r="AL98" s="16"/>
      <c r="AM98" s="12"/>
      <c r="AN98" s="12"/>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row>
    <row r="99" spans="12:71" x14ac:dyDescent="0.2">
      <c r="L99" s="12"/>
      <c r="M99" s="12"/>
      <c r="N99" s="16"/>
      <c r="O99" s="12"/>
      <c r="P99" s="12"/>
      <c r="Q99" s="16"/>
      <c r="R99" s="12"/>
      <c r="S99" s="12"/>
      <c r="T99" s="16"/>
      <c r="U99" s="12"/>
      <c r="V99" s="12"/>
      <c r="W99" s="16"/>
      <c r="X99" s="12"/>
      <c r="Y99" s="12"/>
      <c r="Z99" s="16"/>
      <c r="AA99" s="12"/>
      <c r="AB99" s="12"/>
      <c r="AC99" s="16"/>
      <c r="AD99" s="12"/>
      <c r="AE99" s="12"/>
      <c r="AF99" s="16"/>
      <c r="AG99" s="12"/>
      <c r="AH99" s="12"/>
      <c r="AI99" s="16"/>
      <c r="AJ99" s="12"/>
      <c r="AK99" s="12"/>
      <c r="AL99" s="16"/>
      <c r="AM99" s="12"/>
      <c r="AN99" s="12"/>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row>
    <row r="100" spans="12:71" x14ac:dyDescent="0.2">
      <c r="L100" s="12"/>
      <c r="M100" s="12"/>
      <c r="N100" s="16"/>
      <c r="O100" s="12"/>
      <c r="P100" s="12"/>
      <c r="Q100" s="16"/>
      <c r="R100" s="12"/>
      <c r="S100" s="12"/>
      <c r="T100" s="16"/>
      <c r="U100" s="12"/>
      <c r="V100" s="12"/>
      <c r="W100" s="16"/>
      <c r="X100" s="12"/>
      <c r="Y100" s="12"/>
      <c r="Z100" s="16"/>
      <c r="AA100" s="12"/>
      <c r="AB100" s="12"/>
      <c r="AC100" s="16"/>
      <c r="AD100" s="12"/>
      <c r="AE100" s="12"/>
      <c r="AF100" s="16"/>
      <c r="AG100" s="12"/>
      <c r="AH100" s="12"/>
      <c r="AI100" s="16"/>
      <c r="AJ100" s="12"/>
      <c r="AK100" s="12"/>
      <c r="AL100" s="16"/>
      <c r="AM100" s="12"/>
      <c r="AN100" s="12"/>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row>
    <row r="101" spans="12:71" x14ac:dyDescent="0.2">
      <c r="L101" s="12"/>
      <c r="M101" s="12"/>
      <c r="N101" s="16"/>
      <c r="O101" s="12"/>
      <c r="P101" s="12"/>
      <c r="Q101" s="16"/>
      <c r="R101" s="12"/>
      <c r="S101" s="12"/>
      <c r="T101" s="16"/>
      <c r="U101" s="12"/>
      <c r="V101" s="12"/>
      <c r="W101" s="16"/>
      <c r="X101" s="12"/>
      <c r="Y101" s="12"/>
      <c r="Z101" s="16"/>
      <c r="AA101" s="12"/>
      <c r="AB101" s="12"/>
      <c r="AC101" s="16"/>
      <c r="AD101" s="12"/>
      <c r="AE101" s="12"/>
      <c r="AF101" s="16"/>
      <c r="AG101" s="12"/>
      <c r="AH101" s="12"/>
      <c r="AI101" s="16"/>
      <c r="AJ101" s="12"/>
      <c r="AK101" s="12"/>
      <c r="AL101" s="16"/>
      <c r="AM101" s="12"/>
      <c r="AN101" s="12"/>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row>
    <row r="102" spans="12:71" x14ac:dyDescent="0.2">
      <c r="L102" s="12"/>
      <c r="M102" s="12"/>
      <c r="N102" s="16"/>
      <c r="O102" s="12"/>
      <c r="P102" s="12"/>
      <c r="Q102" s="16"/>
      <c r="R102" s="12"/>
      <c r="S102" s="12"/>
      <c r="T102" s="16"/>
      <c r="U102" s="12"/>
      <c r="V102" s="12"/>
      <c r="W102" s="16"/>
      <c r="X102" s="12"/>
      <c r="Y102" s="12"/>
      <c r="Z102" s="16"/>
      <c r="AA102" s="12"/>
      <c r="AB102" s="12"/>
      <c r="AC102" s="16"/>
      <c r="AD102" s="12"/>
      <c r="AE102" s="12"/>
      <c r="AF102" s="16"/>
      <c r="AG102" s="12"/>
      <c r="AH102" s="12"/>
      <c r="AI102" s="16"/>
      <c r="AJ102" s="12"/>
      <c r="AK102" s="12"/>
      <c r="AL102" s="16"/>
      <c r="AM102" s="12"/>
      <c r="AN102" s="12"/>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row>
    <row r="103" spans="12:71" x14ac:dyDescent="0.2">
      <c r="L103" s="12"/>
      <c r="M103" s="12"/>
      <c r="N103" s="16"/>
      <c r="O103" s="12"/>
      <c r="P103" s="12"/>
      <c r="Q103" s="16"/>
      <c r="R103" s="12"/>
      <c r="S103" s="12"/>
      <c r="T103" s="16"/>
      <c r="U103" s="12"/>
      <c r="V103" s="12"/>
      <c r="W103" s="16"/>
      <c r="X103" s="12"/>
      <c r="Y103" s="12"/>
      <c r="Z103" s="16"/>
      <c r="AA103" s="12"/>
      <c r="AB103" s="12"/>
      <c r="AC103" s="16"/>
      <c r="AD103" s="12"/>
      <c r="AE103" s="12"/>
      <c r="AF103" s="16"/>
      <c r="AG103" s="12"/>
      <c r="AH103" s="12"/>
      <c r="AI103" s="16"/>
      <c r="AJ103" s="12"/>
      <c r="AK103" s="12"/>
      <c r="AL103" s="16"/>
      <c r="AM103" s="12"/>
      <c r="AN103" s="12"/>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row>
    <row r="104" spans="12:71" x14ac:dyDescent="0.2">
      <c r="L104" s="12"/>
      <c r="M104" s="12"/>
      <c r="N104" s="16"/>
      <c r="O104" s="12"/>
      <c r="P104" s="12"/>
      <c r="Q104" s="16"/>
      <c r="R104" s="12"/>
      <c r="S104" s="12"/>
      <c r="T104" s="16"/>
      <c r="U104" s="12"/>
      <c r="V104" s="12"/>
      <c r="W104" s="16"/>
      <c r="X104" s="12"/>
      <c r="Y104" s="12"/>
      <c r="Z104" s="16"/>
      <c r="AA104" s="12"/>
      <c r="AB104" s="12"/>
      <c r="AC104" s="16"/>
      <c r="AD104" s="12"/>
      <c r="AE104" s="12"/>
      <c r="AF104" s="16"/>
      <c r="AG104" s="12"/>
      <c r="AH104" s="12"/>
      <c r="AI104" s="16"/>
      <c r="AJ104" s="12"/>
      <c r="AK104" s="12"/>
      <c r="AL104" s="16"/>
      <c r="AM104" s="12"/>
      <c r="AN104" s="12"/>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row>
    <row r="105" spans="12:71" x14ac:dyDescent="0.2">
      <c r="L105" s="12"/>
      <c r="M105" s="12"/>
      <c r="N105" s="16"/>
      <c r="O105" s="12"/>
      <c r="P105" s="12"/>
      <c r="Q105" s="16"/>
      <c r="R105" s="12"/>
      <c r="S105" s="12"/>
      <c r="T105" s="16"/>
      <c r="U105" s="12"/>
      <c r="V105" s="12"/>
      <c r="W105" s="16"/>
      <c r="X105" s="12"/>
      <c r="Y105" s="12"/>
      <c r="Z105" s="16"/>
      <c r="AA105" s="12"/>
      <c r="AB105" s="12"/>
      <c r="AC105" s="16"/>
      <c r="AD105" s="12"/>
      <c r="AE105" s="12"/>
      <c r="AF105" s="16"/>
      <c r="AG105" s="12"/>
      <c r="AH105" s="12"/>
      <c r="AI105" s="16"/>
      <c r="AJ105" s="12"/>
      <c r="AK105" s="12"/>
      <c r="AL105" s="16"/>
      <c r="AM105" s="12"/>
      <c r="AN105" s="12"/>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2:71" x14ac:dyDescent="0.2">
      <c r="L106" s="12"/>
      <c r="M106" s="12"/>
      <c r="N106" s="16"/>
      <c r="O106" s="12"/>
      <c r="P106" s="12"/>
      <c r="Q106" s="16"/>
      <c r="R106" s="12"/>
      <c r="S106" s="12"/>
      <c r="T106" s="16"/>
      <c r="U106" s="12"/>
      <c r="V106" s="12"/>
      <c r="W106" s="16"/>
      <c r="X106" s="12"/>
      <c r="Y106" s="12"/>
      <c r="Z106" s="16"/>
      <c r="AA106" s="12"/>
      <c r="AB106" s="12"/>
      <c r="AC106" s="16"/>
      <c r="AD106" s="12"/>
      <c r="AE106" s="12"/>
      <c r="AF106" s="16"/>
      <c r="AG106" s="12"/>
      <c r="AH106" s="12"/>
      <c r="AI106" s="16"/>
      <c r="AJ106" s="12"/>
      <c r="AK106" s="12"/>
      <c r="AL106" s="16"/>
      <c r="AM106" s="12"/>
      <c r="AN106" s="12"/>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row>
    <row r="107" spans="12:71" x14ac:dyDescent="0.2">
      <c r="L107" s="12"/>
      <c r="M107" s="12"/>
      <c r="N107" s="16"/>
      <c r="O107" s="12"/>
      <c r="P107" s="12"/>
      <c r="Q107" s="16"/>
      <c r="R107" s="12"/>
      <c r="S107" s="12"/>
      <c r="T107" s="16"/>
      <c r="U107" s="12"/>
      <c r="V107" s="12"/>
      <c r="W107" s="16"/>
      <c r="X107" s="12"/>
      <c r="Y107" s="12"/>
      <c r="Z107" s="16"/>
      <c r="AA107" s="12"/>
      <c r="AB107" s="12"/>
      <c r="AC107" s="16"/>
      <c r="AD107" s="12"/>
      <c r="AE107" s="12"/>
      <c r="AF107" s="16"/>
      <c r="AG107" s="12"/>
      <c r="AH107" s="12"/>
      <c r="AI107" s="16"/>
      <c r="AJ107" s="12"/>
      <c r="AK107" s="12"/>
      <c r="AL107" s="16"/>
      <c r="AM107" s="12"/>
      <c r="AN107" s="12"/>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row>
    <row r="108" spans="12:71" x14ac:dyDescent="0.2">
      <c r="L108" s="12"/>
      <c r="M108" s="12"/>
      <c r="N108" s="16"/>
      <c r="O108" s="12"/>
      <c r="P108" s="12"/>
      <c r="Q108" s="16"/>
      <c r="R108" s="12"/>
      <c r="S108" s="12"/>
      <c r="T108" s="16"/>
      <c r="U108" s="12"/>
      <c r="V108" s="12"/>
      <c r="W108" s="16"/>
      <c r="X108" s="12"/>
      <c r="Y108" s="12"/>
      <c r="Z108" s="16"/>
      <c r="AA108" s="12"/>
      <c r="AB108" s="12"/>
      <c r="AC108" s="16"/>
      <c r="AD108" s="12"/>
      <c r="AE108" s="12"/>
      <c r="AF108" s="16"/>
      <c r="AG108" s="12"/>
      <c r="AH108" s="12"/>
      <c r="AI108" s="16"/>
      <c r="AJ108" s="12"/>
      <c r="AK108" s="12"/>
      <c r="AL108" s="16"/>
      <c r="AM108" s="12"/>
      <c r="AN108" s="12"/>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row>
    <row r="109" spans="12:71" x14ac:dyDescent="0.2">
      <c r="L109" s="12"/>
      <c r="M109" s="12"/>
      <c r="N109" s="16"/>
      <c r="O109" s="12"/>
      <c r="P109" s="12"/>
      <c r="Q109" s="16"/>
      <c r="R109" s="12"/>
      <c r="S109" s="12"/>
      <c r="T109" s="16"/>
      <c r="U109" s="12"/>
      <c r="V109" s="12"/>
      <c r="W109" s="16"/>
      <c r="X109" s="12"/>
      <c r="Y109" s="12"/>
      <c r="Z109" s="16"/>
      <c r="AA109" s="12"/>
      <c r="AB109" s="12"/>
      <c r="AC109" s="16"/>
      <c r="AD109" s="12"/>
      <c r="AE109" s="12"/>
      <c r="AF109" s="16"/>
      <c r="AG109" s="12"/>
      <c r="AH109" s="12"/>
      <c r="AI109" s="16"/>
      <c r="AJ109" s="12"/>
      <c r="AK109" s="12"/>
      <c r="AL109" s="16"/>
      <c r="AM109" s="12"/>
      <c r="AN109" s="12"/>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row>
    <row r="110" spans="12:71" x14ac:dyDescent="0.2">
      <c r="L110" s="12"/>
      <c r="M110" s="12"/>
      <c r="N110" s="16"/>
      <c r="O110" s="12"/>
      <c r="P110" s="12"/>
      <c r="Q110" s="16"/>
      <c r="R110" s="12"/>
      <c r="S110" s="12"/>
      <c r="T110" s="16"/>
      <c r="U110" s="12"/>
      <c r="V110" s="12"/>
      <c r="W110" s="16"/>
      <c r="X110" s="12"/>
      <c r="Y110" s="12"/>
      <c r="Z110" s="16"/>
      <c r="AA110" s="12"/>
      <c r="AB110" s="12"/>
      <c r="AC110" s="16"/>
      <c r="AD110" s="12"/>
      <c r="AE110" s="12"/>
      <c r="AF110" s="16"/>
      <c r="AG110" s="12"/>
      <c r="AH110" s="12"/>
      <c r="AI110" s="16"/>
      <c r="AJ110" s="12"/>
      <c r="AK110" s="12"/>
      <c r="AL110" s="16"/>
      <c r="AM110" s="12"/>
      <c r="AN110" s="12"/>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row>
    <row r="111" spans="12:71" x14ac:dyDescent="0.2">
      <c r="L111" s="12"/>
      <c r="M111" s="12"/>
      <c r="N111" s="16"/>
      <c r="O111" s="12"/>
      <c r="P111" s="12"/>
      <c r="Q111" s="16"/>
      <c r="R111" s="12"/>
      <c r="S111" s="12"/>
      <c r="T111" s="16"/>
      <c r="U111" s="12"/>
      <c r="V111" s="12"/>
      <c r="W111" s="16"/>
      <c r="X111" s="12"/>
      <c r="Y111" s="12"/>
      <c r="Z111" s="16"/>
      <c r="AA111" s="12"/>
      <c r="AB111" s="12"/>
      <c r="AC111" s="16"/>
      <c r="AD111" s="12"/>
      <c r="AE111" s="12"/>
      <c r="AF111" s="16"/>
      <c r="AG111" s="12"/>
      <c r="AH111" s="12"/>
      <c r="AI111" s="16"/>
      <c r="AJ111" s="12"/>
      <c r="AK111" s="12"/>
      <c r="AL111" s="16"/>
      <c r="AM111" s="12"/>
      <c r="AN111" s="12"/>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row>
    <row r="112" spans="12:71" x14ac:dyDescent="0.2">
      <c r="L112" s="12"/>
      <c r="M112" s="12"/>
      <c r="N112" s="16"/>
      <c r="O112" s="12"/>
      <c r="P112" s="12"/>
      <c r="Q112" s="16"/>
      <c r="R112" s="12"/>
      <c r="S112" s="12"/>
      <c r="T112" s="16"/>
      <c r="U112" s="12"/>
      <c r="V112" s="12"/>
      <c r="W112" s="16"/>
      <c r="X112" s="12"/>
      <c r="Y112" s="12"/>
      <c r="Z112" s="16"/>
      <c r="AA112" s="12"/>
      <c r="AB112" s="12"/>
      <c r="AC112" s="16"/>
      <c r="AD112" s="12"/>
      <c r="AE112" s="12"/>
      <c r="AF112" s="16"/>
      <c r="AG112" s="12"/>
      <c r="AH112" s="12"/>
      <c r="AI112" s="16"/>
      <c r="AJ112" s="12"/>
      <c r="AK112" s="12"/>
      <c r="AL112" s="16"/>
      <c r="AM112" s="12"/>
      <c r="AN112" s="12"/>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row>
    <row r="113" spans="12:71" x14ac:dyDescent="0.2">
      <c r="L113" s="12"/>
      <c r="M113" s="12"/>
      <c r="N113" s="16"/>
      <c r="O113" s="12"/>
      <c r="P113" s="12"/>
      <c r="Q113" s="16"/>
      <c r="R113" s="12"/>
      <c r="S113" s="12"/>
      <c r="T113" s="16"/>
      <c r="U113" s="12"/>
      <c r="V113" s="12"/>
      <c r="W113" s="16"/>
      <c r="X113" s="12"/>
      <c r="Y113" s="12"/>
      <c r="Z113" s="16"/>
      <c r="AA113" s="12"/>
      <c r="AB113" s="12"/>
      <c r="AC113" s="16"/>
      <c r="AD113" s="12"/>
      <c r="AE113" s="12"/>
      <c r="AF113" s="16"/>
      <c r="AG113" s="12"/>
      <c r="AH113" s="12"/>
      <c r="AI113" s="16"/>
      <c r="AJ113" s="12"/>
      <c r="AK113" s="12"/>
      <c r="AL113" s="16"/>
      <c r="AM113" s="12"/>
      <c r="AN113" s="12"/>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row>
    <row r="114" spans="12:71" x14ac:dyDescent="0.2">
      <c r="L114" s="12"/>
      <c r="M114" s="12"/>
      <c r="N114" s="16"/>
      <c r="O114" s="12"/>
      <c r="P114" s="12"/>
      <c r="Q114" s="16"/>
      <c r="R114" s="12"/>
      <c r="S114" s="12"/>
      <c r="T114" s="16"/>
      <c r="U114" s="12"/>
      <c r="V114" s="12"/>
      <c r="W114" s="16"/>
      <c r="X114" s="12"/>
      <c r="Y114" s="12"/>
      <c r="Z114" s="16"/>
      <c r="AA114" s="12"/>
      <c r="AB114" s="12"/>
      <c r="AC114" s="16"/>
      <c r="AD114" s="12"/>
      <c r="AE114" s="12"/>
      <c r="AF114" s="16"/>
      <c r="AG114" s="12"/>
      <c r="AH114" s="12"/>
      <c r="AI114" s="16"/>
      <c r="AJ114" s="12"/>
      <c r="AK114" s="12"/>
      <c r="AL114" s="16"/>
      <c r="AM114" s="12"/>
      <c r="AN114" s="12"/>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row>
    <row r="115" spans="12:71" x14ac:dyDescent="0.2">
      <c r="L115" s="12"/>
      <c r="M115" s="12"/>
      <c r="N115" s="16"/>
      <c r="O115" s="12"/>
      <c r="P115" s="12"/>
      <c r="Q115" s="16"/>
      <c r="R115" s="12"/>
      <c r="S115" s="12"/>
      <c r="T115" s="16"/>
      <c r="U115" s="12"/>
      <c r="V115" s="12"/>
      <c r="W115" s="16"/>
      <c r="X115" s="12"/>
      <c r="Y115" s="12"/>
      <c r="Z115" s="16"/>
      <c r="AA115" s="12"/>
      <c r="AB115" s="12"/>
      <c r="AC115" s="16"/>
      <c r="AD115" s="12"/>
      <c r="AE115" s="12"/>
      <c r="AF115" s="16"/>
      <c r="AG115" s="12"/>
      <c r="AH115" s="12"/>
      <c r="AI115" s="16"/>
      <c r="AJ115" s="12"/>
      <c r="AK115" s="12"/>
      <c r="AL115" s="16"/>
      <c r="AM115" s="12"/>
      <c r="AN115" s="12"/>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row>
    <row r="116" spans="12:71" x14ac:dyDescent="0.2">
      <c r="L116" s="12"/>
      <c r="M116" s="12"/>
      <c r="N116" s="16"/>
      <c r="O116" s="12"/>
      <c r="P116" s="12"/>
      <c r="Q116" s="16"/>
      <c r="R116" s="12"/>
      <c r="S116" s="12"/>
      <c r="T116" s="16"/>
      <c r="U116" s="12"/>
      <c r="V116" s="12"/>
      <c r="W116" s="16"/>
      <c r="X116" s="12"/>
      <c r="Y116" s="12"/>
      <c r="Z116" s="16"/>
      <c r="AA116" s="12"/>
      <c r="AB116" s="12"/>
      <c r="AC116" s="16"/>
      <c r="AD116" s="12"/>
      <c r="AE116" s="12"/>
      <c r="AF116" s="16"/>
      <c r="AG116" s="12"/>
      <c r="AH116" s="12"/>
      <c r="AI116" s="16"/>
      <c r="AJ116" s="12"/>
      <c r="AK116" s="12"/>
      <c r="AL116" s="16"/>
      <c r="AM116" s="12"/>
      <c r="AN116" s="12"/>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row>
    <row r="117" spans="12:71" x14ac:dyDescent="0.2">
      <c r="L117" s="12"/>
      <c r="M117" s="12"/>
      <c r="N117" s="16"/>
      <c r="O117" s="12"/>
      <c r="P117" s="12"/>
      <c r="Q117" s="16"/>
      <c r="R117" s="12"/>
      <c r="S117" s="12"/>
      <c r="T117" s="16"/>
      <c r="U117" s="12"/>
      <c r="V117" s="12"/>
      <c r="W117" s="16"/>
      <c r="X117" s="12"/>
      <c r="Y117" s="12"/>
      <c r="Z117" s="16"/>
      <c r="AA117" s="12"/>
      <c r="AB117" s="12"/>
      <c r="AC117" s="16"/>
      <c r="AD117" s="12"/>
      <c r="AE117" s="12"/>
      <c r="AF117" s="16"/>
      <c r="AG117" s="12"/>
      <c r="AH117" s="12"/>
      <c r="AI117" s="16"/>
      <c r="AJ117" s="12"/>
      <c r="AK117" s="12"/>
      <c r="AL117" s="16"/>
      <c r="AM117" s="12"/>
      <c r="AN117" s="12"/>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row>
    <row r="118" spans="12:71" x14ac:dyDescent="0.2">
      <c r="L118" s="12"/>
      <c r="M118" s="12"/>
      <c r="N118" s="16"/>
      <c r="O118" s="12"/>
      <c r="P118" s="12"/>
      <c r="Q118" s="16"/>
      <c r="R118" s="12"/>
      <c r="S118" s="12"/>
      <c r="T118" s="16"/>
      <c r="U118" s="12"/>
      <c r="V118" s="12"/>
      <c r="W118" s="16"/>
      <c r="X118" s="12"/>
      <c r="Y118" s="12"/>
      <c r="Z118" s="16"/>
      <c r="AA118" s="12"/>
      <c r="AB118" s="12"/>
      <c r="AC118" s="16"/>
      <c r="AD118" s="12"/>
      <c r="AE118" s="12"/>
      <c r="AF118" s="16"/>
      <c r="AG118" s="12"/>
      <c r="AH118" s="12"/>
      <c r="AI118" s="16"/>
      <c r="AJ118" s="12"/>
      <c r="AK118" s="12"/>
      <c r="AL118" s="16"/>
      <c r="AM118" s="12"/>
      <c r="AN118" s="12"/>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row>
    <row r="119" spans="12:71" x14ac:dyDescent="0.2">
      <c r="L119" s="12"/>
      <c r="M119" s="12"/>
      <c r="N119" s="16"/>
      <c r="O119" s="12"/>
      <c r="P119" s="12"/>
      <c r="Q119" s="16"/>
      <c r="R119" s="12"/>
      <c r="S119" s="12"/>
      <c r="T119" s="16"/>
      <c r="U119" s="12"/>
      <c r="V119" s="12"/>
      <c r="W119" s="16"/>
      <c r="X119" s="12"/>
      <c r="Y119" s="12"/>
      <c r="Z119" s="16"/>
      <c r="AA119" s="12"/>
      <c r="AB119" s="12"/>
      <c r="AC119" s="16"/>
      <c r="AD119" s="12"/>
      <c r="AE119" s="12"/>
      <c r="AF119" s="16"/>
      <c r="AG119" s="12"/>
      <c r="AH119" s="12"/>
      <c r="AI119" s="16"/>
      <c r="AJ119" s="12"/>
      <c r="AK119" s="12"/>
      <c r="AL119" s="16"/>
      <c r="AM119" s="12"/>
      <c r="AN119" s="12"/>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row>
    <row r="120" spans="12:71" x14ac:dyDescent="0.2">
      <c r="L120" s="12"/>
      <c r="M120" s="12"/>
      <c r="N120" s="16"/>
      <c r="O120" s="12"/>
      <c r="P120" s="12"/>
      <c r="Q120" s="16"/>
      <c r="R120" s="12"/>
      <c r="S120" s="12"/>
      <c r="T120" s="16"/>
      <c r="U120" s="12"/>
      <c r="V120" s="12"/>
      <c r="W120" s="16"/>
      <c r="X120" s="12"/>
      <c r="Y120" s="12"/>
      <c r="Z120" s="16"/>
      <c r="AA120" s="12"/>
      <c r="AB120" s="12"/>
      <c r="AC120" s="16"/>
      <c r="AD120" s="12"/>
      <c r="AE120" s="12"/>
      <c r="AF120" s="16"/>
      <c r="AG120" s="12"/>
      <c r="AH120" s="12"/>
      <c r="AI120" s="16"/>
      <c r="AJ120" s="12"/>
      <c r="AK120" s="12"/>
      <c r="AL120" s="16"/>
      <c r="AM120" s="12"/>
      <c r="AN120" s="12"/>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row>
    <row r="121" spans="12:71" x14ac:dyDescent="0.2">
      <c r="L121" s="12"/>
      <c r="M121" s="12"/>
      <c r="N121" s="16"/>
      <c r="O121" s="12"/>
      <c r="P121" s="12"/>
      <c r="Q121" s="16"/>
      <c r="R121" s="12"/>
      <c r="S121" s="12"/>
      <c r="T121" s="16"/>
      <c r="U121" s="12"/>
      <c r="V121" s="12"/>
      <c r="W121" s="16"/>
      <c r="X121" s="12"/>
      <c r="Y121" s="12"/>
      <c r="Z121" s="16"/>
      <c r="AA121" s="12"/>
      <c r="AB121" s="12"/>
      <c r="AC121" s="16"/>
      <c r="AD121" s="12"/>
      <c r="AE121" s="12"/>
      <c r="AF121" s="16"/>
      <c r="AG121" s="12"/>
      <c r="AH121" s="12"/>
      <c r="AI121" s="16"/>
      <c r="AJ121" s="12"/>
      <c r="AK121" s="12"/>
      <c r="AL121" s="16"/>
      <c r="AM121" s="12"/>
      <c r="AN121" s="12"/>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row>
    <row r="122" spans="12:71" x14ac:dyDescent="0.2">
      <c r="L122" s="12"/>
      <c r="M122" s="12"/>
      <c r="N122" s="16"/>
      <c r="O122" s="12"/>
      <c r="P122" s="12"/>
      <c r="Q122" s="16"/>
      <c r="R122" s="12"/>
      <c r="S122" s="12"/>
      <c r="T122" s="16"/>
      <c r="U122" s="12"/>
      <c r="V122" s="12"/>
      <c r="W122" s="16"/>
      <c r="X122" s="12"/>
      <c r="Y122" s="12"/>
      <c r="Z122" s="16"/>
      <c r="AA122" s="12"/>
      <c r="AB122" s="12"/>
      <c r="AC122" s="16"/>
      <c r="AD122" s="12"/>
      <c r="AE122" s="12"/>
      <c r="AF122" s="16"/>
      <c r="AG122" s="12"/>
      <c r="AH122" s="12"/>
      <c r="AI122" s="16"/>
      <c r="AJ122" s="12"/>
      <c r="AK122" s="12"/>
      <c r="AL122" s="16"/>
      <c r="AM122" s="12"/>
      <c r="AN122" s="12"/>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row>
    <row r="123" spans="12:71" x14ac:dyDescent="0.2">
      <c r="L123" s="12"/>
      <c r="M123" s="12"/>
      <c r="N123" s="16"/>
      <c r="O123" s="12"/>
      <c r="P123" s="12"/>
      <c r="Q123" s="16"/>
      <c r="R123" s="12"/>
      <c r="S123" s="12"/>
      <c r="T123" s="16"/>
      <c r="U123" s="12"/>
      <c r="V123" s="12"/>
      <c r="W123" s="16"/>
      <c r="X123" s="12"/>
      <c r="Y123" s="12"/>
      <c r="Z123" s="16"/>
      <c r="AA123" s="12"/>
      <c r="AB123" s="12"/>
      <c r="AC123" s="16"/>
      <c r="AD123" s="12"/>
      <c r="AE123" s="12"/>
      <c r="AF123" s="16"/>
      <c r="AG123" s="12"/>
      <c r="AH123" s="12"/>
      <c r="AI123" s="16"/>
      <c r="AJ123" s="12"/>
      <c r="AK123" s="12"/>
      <c r="AL123" s="16"/>
      <c r="AM123" s="12"/>
      <c r="AN123" s="12"/>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row>
    <row r="124" spans="12:71" x14ac:dyDescent="0.2">
      <c r="L124" s="12"/>
      <c r="M124" s="12"/>
      <c r="N124" s="16"/>
      <c r="O124" s="12"/>
      <c r="P124" s="12"/>
      <c r="Q124" s="16"/>
      <c r="R124" s="12"/>
      <c r="S124" s="12"/>
      <c r="T124" s="16"/>
      <c r="U124" s="12"/>
      <c r="V124" s="12"/>
      <c r="W124" s="16"/>
      <c r="X124" s="12"/>
      <c r="Y124" s="12"/>
      <c r="Z124" s="16"/>
      <c r="AA124" s="12"/>
      <c r="AB124" s="12"/>
      <c r="AC124" s="16"/>
      <c r="AD124" s="12"/>
      <c r="AE124" s="12"/>
      <c r="AF124" s="16"/>
      <c r="AG124" s="12"/>
      <c r="AH124" s="12"/>
      <c r="AI124" s="16"/>
      <c r="AJ124" s="12"/>
      <c r="AK124" s="12"/>
      <c r="AL124" s="16"/>
      <c r="AM124" s="12"/>
      <c r="AN124" s="12"/>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row>
    <row r="125" spans="12:71" x14ac:dyDescent="0.2">
      <c r="L125" s="12"/>
      <c r="M125" s="12"/>
      <c r="N125" s="16"/>
      <c r="O125" s="12"/>
      <c r="P125" s="12"/>
      <c r="Q125" s="16"/>
      <c r="R125" s="12"/>
      <c r="S125" s="12"/>
      <c r="T125" s="16"/>
      <c r="U125" s="12"/>
      <c r="V125" s="12"/>
      <c r="W125" s="16"/>
      <c r="X125" s="12"/>
      <c r="Y125" s="12"/>
      <c r="Z125" s="16"/>
      <c r="AA125" s="12"/>
      <c r="AB125" s="12"/>
      <c r="AC125" s="16"/>
      <c r="AD125" s="12"/>
      <c r="AE125" s="12"/>
      <c r="AF125" s="16"/>
      <c r="AG125" s="12"/>
      <c r="AH125" s="12"/>
      <c r="AI125" s="16"/>
      <c r="AJ125" s="12"/>
      <c r="AK125" s="12"/>
      <c r="AL125" s="16"/>
      <c r="AM125" s="12"/>
      <c r="AN125" s="12"/>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row>
    <row r="126" spans="12:71" x14ac:dyDescent="0.2">
      <c r="L126" s="12"/>
      <c r="M126" s="12"/>
      <c r="N126" s="16"/>
      <c r="O126" s="12"/>
      <c r="P126" s="12"/>
      <c r="Q126" s="16"/>
      <c r="R126" s="12"/>
      <c r="S126" s="12"/>
      <c r="T126" s="16"/>
      <c r="U126" s="12"/>
      <c r="V126" s="12"/>
      <c r="W126" s="16"/>
      <c r="X126" s="12"/>
      <c r="Y126" s="12"/>
      <c r="Z126" s="16"/>
      <c r="AA126" s="12"/>
      <c r="AB126" s="12"/>
      <c r="AC126" s="16"/>
      <c r="AD126" s="12"/>
      <c r="AE126" s="12"/>
      <c r="AF126" s="16"/>
      <c r="AG126" s="12"/>
      <c r="AH126" s="12"/>
      <c r="AI126" s="16"/>
      <c r="AJ126" s="12"/>
      <c r="AK126" s="12"/>
      <c r="AL126" s="16"/>
      <c r="AM126" s="12"/>
      <c r="AN126" s="12"/>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row>
    <row r="127" spans="12:71" x14ac:dyDescent="0.2">
      <c r="L127" s="12"/>
      <c r="M127" s="12"/>
      <c r="N127" s="16"/>
      <c r="O127" s="12"/>
      <c r="P127" s="12"/>
      <c r="Q127" s="16"/>
      <c r="R127" s="12"/>
      <c r="S127" s="12"/>
      <c r="T127" s="16"/>
      <c r="U127" s="12"/>
      <c r="V127" s="12"/>
      <c r="W127" s="16"/>
      <c r="X127" s="12"/>
      <c r="Y127" s="12"/>
      <c r="Z127" s="16"/>
      <c r="AA127" s="12"/>
      <c r="AB127" s="12"/>
      <c r="AC127" s="16"/>
      <c r="AD127" s="12"/>
      <c r="AE127" s="12"/>
      <c r="AF127" s="16"/>
      <c r="AG127" s="12"/>
      <c r="AH127" s="12"/>
      <c r="AI127" s="16"/>
      <c r="AJ127" s="12"/>
      <c r="AK127" s="12"/>
      <c r="AL127" s="16"/>
      <c r="AM127" s="12"/>
      <c r="AN127" s="12"/>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row>
    <row r="128" spans="12:71" x14ac:dyDescent="0.2">
      <c r="L128" s="12"/>
      <c r="M128" s="12"/>
      <c r="N128" s="16"/>
      <c r="O128" s="12"/>
      <c r="P128" s="12"/>
      <c r="Q128" s="16"/>
      <c r="R128" s="12"/>
      <c r="S128" s="12"/>
      <c r="T128" s="16"/>
      <c r="U128" s="12"/>
      <c r="V128" s="12"/>
      <c r="W128" s="16"/>
      <c r="X128" s="12"/>
      <c r="Y128" s="12"/>
      <c r="Z128" s="16"/>
      <c r="AA128" s="12"/>
      <c r="AB128" s="12"/>
      <c r="AC128" s="16"/>
      <c r="AD128" s="12"/>
      <c r="AE128" s="12"/>
      <c r="AF128" s="16"/>
      <c r="AG128" s="12"/>
      <c r="AH128" s="12"/>
      <c r="AI128" s="16"/>
      <c r="AJ128" s="12"/>
      <c r="AK128" s="12"/>
      <c r="AL128" s="16"/>
      <c r="AM128" s="12"/>
      <c r="AN128" s="12"/>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row>
    <row r="129" spans="12:71" x14ac:dyDescent="0.2">
      <c r="L129" s="12"/>
      <c r="M129" s="12"/>
      <c r="N129" s="16"/>
      <c r="O129" s="12"/>
      <c r="P129" s="12"/>
      <c r="Q129" s="16"/>
      <c r="R129" s="12"/>
      <c r="S129" s="12"/>
      <c r="T129" s="16"/>
      <c r="U129" s="12"/>
      <c r="V129" s="12"/>
      <c r="W129" s="16"/>
      <c r="X129" s="12"/>
      <c r="Y129" s="12"/>
      <c r="Z129" s="16"/>
      <c r="AA129" s="12"/>
      <c r="AB129" s="12"/>
      <c r="AC129" s="16"/>
      <c r="AD129" s="12"/>
      <c r="AE129" s="12"/>
      <c r="AF129" s="16"/>
      <c r="AG129" s="12"/>
      <c r="AH129" s="12"/>
      <c r="AI129" s="16"/>
      <c r="AJ129" s="12"/>
      <c r="AK129" s="12"/>
      <c r="AL129" s="16"/>
      <c r="AM129" s="12"/>
      <c r="AN129" s="12"/>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row>
    <row r="130" spans="12:71" x14ac:dyDescent="0.2">
      <c r="L130" s="12"/>
      <c r="M130" s="12"/>
      <c r="N130" s="16"/>
      <c r="O130" s="12"/>
      <c r="P130" s="12"/>
      <c r="Q130" s="16"/>
      <c r="R130" s="12"/>
      <c r="S130" s="12"/>
      <c r="T130" s="16"/>
      <c r="U130" s="12"/>
      <c r="V130" s="12"/>
      <c r="W130" s="16"/>
      <c r="X130" s="12"/>
      <c r="Y130" s="12"/>
      <c r="Z130" s="16"/>
      <c r="AA130" s="12"/>
      <c r="AB130" s="12"/>
      <c r="AC130" s="16"/>
      <c r="AD130" s="12"/>
      <c r="AE130" s="12"/>
      <c r="AF130" s="16"/>
      <c r="AG130" s="12"/>
      <c r="AH130" s="12"/>
      <c r="AI130" s="16"/>
      <c r="AJ130" s="12"/>
      <c r="AK130" s="12"/>
      <c r="AL130" s="16"/>
      <c r="AM130" s="12"/>
      <c r="AN130" s="12"/>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row>
    <row r="131" spans="12:71" x14ac:dyDescent="0.2">
      <c r="L131" s="12"/>
      <c r="M131" s="12"/>
      <c r="N131" s="16"/>
      <c r="O131" s="12"/>
      <c r="P131" s="12"/>
      <c r="Q131" s="16"/>
      <c r="R131" s="12"/>
      <c r="S131" s="12"/>
      <c r="T131" s="16"/>
      <c r="U131" s="12"/>
      <c r="V131" s="12"/>
      <c r="W131" s="16"/>
      <c r="X131" s="12"/>
      <c r="Y131" s="12"/>
      <c r="Z131" s="16"/>
      <c r="AA131" s="12"/>
      <c r="AB131" s="12"/>
      <c r="AC131" s="16"/>
      <c r="AD131" s="12"/>
      <c r="AE131" s="12"/>
      <c r="AF131" s="16"/>
      <c r="AG131" s="12"/>
      <c r="AH131" s="12"/>
      <c r="AI131" s="16"/>
      <c r="AJ131" s="12"/>
      <c r="AK131" s="12"/>
      <c r="AL131" s="16"/>
      <c r="AM131" s="12"/>
      <c r="AN131" s="12"/>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row>
    <row r="132" spans="12:71" x14ac:dyDescent="0.2">
      <c r="L132" s="12"/>
      <c r="M132" s="12"/>
      <c r="N132" s="16"/>
      <c r="O132" s="12"/>
      <c r="P132" s="12"/>
      <c r="Q132" s="16"/>
      <c r="R132" s="12"/>
      <c r="S132" s="12"/>
      <c r="T132" s="16"/>
      <c r="U132" s="12"/>
      <c r="V132" s="12"/>
      <c r="W132" s="16"/>
      <c r="X132" s="12"/>
      <c r="Y132" s="12"/>
      <c r="Z132" s="16"/>
      <c r="AA132" s="12"/>
      <c r="AB132" s="12"/>
      <c r="AC132" s="16"/>
      <c r="AD132" s="12"/>
      <c r="AE132" s="12"/>
      <c r="AF132" s="16"/>
      <c r="AG132" s="12"/>
      <c r="AH132" s="12"/>
      <c r="AI132" s="16"/>
      <c r="AJ132" s="12"/>
      <c r="AK132" s="12"/>
      <c r="AL132" s="16"/>
      <c r="AM132" s="12"/>
      <c r="AN132" s="12"/>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row>
    <row r="133" spans="12:71" x14ac:dyDescent="0.2">
      <c r="L133" s="12"/>
      <c r="M133" s="12"/>
      <c r="N133" s="16"/>
      <c r="O133" s="12"/>
      <c r="P133" s="12"/>
      <c r="Q133" s="16"/>
      <c r="R133" s="12"/>
      <c r="S133" s="12"/>
      <c r="T133" s="16"/>
      <c r="U133" s="12"/>
      <c r="V133" s="12"/>
      <c r="W133" s="16"/>
      <c r="X133" s="12"/>
      <c r="Y133" s="12"/>
      <c r="Z133" s="16"/>
      <c r="AA133" s="12"/>
      <c r="AB133" s="12"/>
      <c r="AC133" s="16"/>
      <c r="AD133" s="12"/>
      <c r="AE133" s="12"/>
      <c r="AF133" s="16"/>
      <c r="AG133" s="12"/>
      <c r="AH133" s="12"/>
      <c r="AI133" s="16"/>
      <c r="AJ133" s="12"/>
      <c r="AK133" s="12"/>
      <c r="AL133" s="16"/>
      <c r="AM133" s="12"/>
      <c r="AN133" s="12"/>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row>
    <row r="134" spans="12:71" x14ac:dyDescent="0.2">
      <c r="L134" s="12"/>
      <c r="M134" s="12"/>
      <c r="N134" s="16"/>
      <c r="O134" s="12"/>
      <c r="P134" s="12"/>
      <c r="Q134" s="16"/>
      <c r="R134" s="12"/>
      <c r="S134" s="12"/>
      <c r="T134" s="16"/>
      <c r="U134" s="12"/>
      <c r="V134" s="12"/>
      <c r="W134" s="16"/>
      <c r="X134" s="12"/>
      <c r="Y134" s="12"/>
      <c r="Z134" s="16"/>
      <c r="AA134" s="12"/>
      <c r="AB134" s="12"/>
      <c r="AC134" s="16"/>
      <c r="AD134" s="12"/>
      <c r="AE134" s="12"/>
      <c r="AF134" s="16"/>
      <c r="AG134" s="12"/>
      <c r="AH134" s="12"/>
      <c r="AI134" s="16"/>
      <c r="AJ134" s="12"/>
      <c r="AK134" s="12"/>
      <c r="AL134" s="16"/>
      <c r="AM134" s="12"/>
      <c r="AN134" s="12"/>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row>
    <row r="135" spans="12:71" x14ac:dyDescent="0.2">
      <c r="L135" s="12"/>
      <c r="M135" s="12"/>
      <c r="N135" s="16"/>
      <c r="O135" s="12"/>
      <c r="P135" s="12"/>
      <c r="Q135" s="16"/>
      <c r="R135" s="12"/>
      <c r="S135" s="12"/>
      <c r="T135" s="16"/>
      <c r="U135" s="12"/>
      <c r="V135" s="12"/>
      <c r="W135" s="16"/>
      <c r="X135" s="12"/>
      <c r="Y135" s="12"/>
      <c r="Z135" s="16"/>
      <c r="AA135" s="12"/>
      <c r="AB135" s="12"/>
      <c r="AC135" s="16"/>
      <c r="AD135" s="12"/>
      <c r="AE135" s="12"/>
      <c r="AF135" s="16"/>
      <c r="AG135" s="12"/>
      <c r="AH135" s="12"/>
      <c r="AI135" s="16"/>
      <c r="AJ135" s="12"/>
      <c r="AK135" s="12"/>
      <c r="AL135" s="16"/>
      <c r="AM135" s="12"/>
      <c r="AN135" s="12"/>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row>
    <row r="136" spans="12:71" x14ac:dyDescent="0.2">
      <c r="L136" s="12"/>
      <c r="M136" s="12"/>
      <c r="N136" s="16"/>
      <c r="O136" s="12"/>
      <c r="P136" s="12"/>
      <c r="Q136" s="16"/>
      <c r="R136" s="12"/>
      <c r="S136" s="12"/>
      <c r="T136" s="16"/>
      <c r="U136" s="12"/>
      <c r="V136" s="12"/>
      <c r="W136" s="16"/>
      <c r="X136" s="12"/>
      <c r="Y136" s="12"/>
      <c r="Z136" s="16"/>
      <c r="AA136" s="12"/>
      <c r="AB136" s="12"/>
      <c r="AC136" s="16"/>
      <c r="AD136" s="12"/>
      <c r="AE136" s="12"/>
      <c r="AF136" s="16"/>
      <c r="AG136" s="12"/>
      <c r="AH136" s="12"/>
      <c r="AI136" s="16"/>
      <c r="AJ136" s="12"/>
      <c r="AK136" s="12"/>
      <c r="AL136" s="16"/>
      <c r="AM136" s="12"/>
      <c r="AN136" s="12"/>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row r="137" spans="12:71" x14ac:dyDescent="0.2">
      <c r="L137" s="12"/>
      <c r="M137" s="12"/>
      <c r="N137" s="16"/>
      <c r="O137" s="12"/>
      <c r="P137" s="12"/>
      <c r="Q137" s="16"/>
      <c r="R137" s="12"/>
      <c r="S137" s="12"/>
      <c r="T137" s="16"/>
      <c r="U137" s="12"/>
      <c r="V137" s="12"/>
      <c r="W137" s="16"/>
      <c r="X137" s="12"/>
      <c r="Y137" s="12"/>
      <c r="Z137" s="16"/>
      <c r="AA137" s="12"/>
      <c r="AB137" s="12"/>
      <c r="AC137" s="16"/>
      <c r="AD137" s="12"/>
      <c r="AE137" s="12"/>
      <c r="AF137" s="16"/>
      <c r="AG137" s="12"/>
      <c r="AH137" s="12"/>
      <c r="AI137" s="16"/>
      <c r="AJ137" s="12"/>
      <c r="AK137" s="12"/>
      <c r="AL137" s="16"/>
      <c r="AM137" s="12"/>
      <c r="AN137" s="12"/>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row>
    <row r="138" spans="12:71" x14ac:dyDescent="0.2">
      <c r="L138" s="12"/>
      <c r="M138" s="12"/>
      <c r="N138" s="16"/>
      <c r="O138" s="12"/>
      <c r="P138" s="12"/>
      <c r="Q138" s="16"/>
      <c r="R138" s="12"/>
      <c r="S138" s="12"/>
      <c r="T138" s="16"/>
      <c r="U138" s="12"/>
      <c r="V138" s="12"/>
      <c r="W138" s="16"/>
      <c r="X138" s="12"/>
      <c r="Y138" s="12"/>
      <c r="Z138" s="16"/>
      <c r="AA138" s="12"/>
      <c r="AB138" s="12"/>
      <c r="AC138" s="16"/>
      <c r="AD138" s="12"/>
      <c r="AE138" s="12"/>
      <c r="AF138" s="16"/>
      <c r="AG138" s="12"/>
      <c r="AH138" s="12"/>
      <c r="AI138" s="16"/>
      <c r="AJ138" s="12"/>
      <c r="AK138" s="12"/>
      <c r="AL138" s="16"/>
      <c r="AM138" s="12"/>
      <c r="AN138" s="12"/>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row>
    <row r="139" spans="12:71" x14ac:dyDescent="0.2">
      <c r="L139" s="12"/>
      <c r="M139" s="12"/>
      <c r="N139" s="16"/>
      <c r="O139" s="12"/>
      <c r="P139" s="12"/>
      <c r="Q139" s="16"/>
      <c r="R139" s="12"/>
      <c r="S139" s="12"/>
      <c r="T139" s="16"/>
      <c r="U139" s="12"/>
      <c r="V139" s="12"/>
      <c r="W139" s="16"/>
      <c r="X139" s="12"/>
      <c r="Y139" s="12"/>
      <c r="Z139" s="16"/>
      <c r="AA139" s="12"/>
      <c r="AB139" s="12"/>
      <c r="AC139" s="16"/>
      <c r="AD139" s="12"/>
      <c r="AE139" s="12"/>
      <c r="AF139" s="16"/>
      <c r="AG139" s="12"/>
      <c r="AH139" s="12"/>
      <c r="AI139" s="16"/>
      <c r="AJ139" s="12"/>
      <c r="AK139" s="12"/>
      <c r="AL139" s="16"/>
      <c r="AM139" s="12"/>
      <c r="AN139" s="12"/>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row>
    <row r="140" spans="12:71" x14ac:dyDescent="0.2">
      <c r="L140" s="12"/>
      <c r="M140" s="12"/>
      <c r="N140" s="16"/>
      <c r="O140" s="12"/>
      <c r="P140" s="12"/>
      <c r="Q140" s="16"/>
      <c r="R140" s="12"/>
      <c r="S140" s="12"/>
      <c r="T140" s="16"/>
      <c r="U140" s="12"/>
      <c r="V140" s="12"/>
      <c r="W140" s="16"/>
      <c r="X140" s="12"/>
      <c r="Y140" s="12"/>
      <c r="Z140" s="16"/>
      <c r="AA140" s="12"/>
      <c r="AB140" s="12"/>
      <c r="AC140" s="16"/>
      <c r="AD140" s="12"/>
      <c r="AE140" s="12"/>
      <c r="AF140" s="16"/>
      <c r="AG140" s="12"/>
      <c r="AH140" s="12"/>
      <c r="AI140" s="16"/>
      <c r="AJ140" s="12"/>
      <c r="AK140" s="12"/>
      <c r="AL140" s="16"/>
      <c r="AM140" s="12"/>
      <c r="AN140" s="12"/>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row>
    <row r="141" spans="12:71" x14ac:dyDescent="0.2">
      <c r="L141" s="12"/>
      <c r="M141" s="12"/>
      <c r="N141" s="16"/>
      <c r="O141" s="12"/>
      <c r="P141" s="12"/>
      <c r="Q141" s="16"/>
      <c r="R141" s="12"/>
      <c r="S141" s="12"/>
      <c r="T141" s="16"/>
      <c r="U141" s="12"/>
      <c r="V141" s="12"/>
      <c r="W141" s="16"/>
      <c r="X141" s="12"/>
      <c r="Y141" s="12"/>
      <c r="Z141" s="16"/>
      <c r="AA141" s="12"/>
      <c r="AB141" s="12"/>
      <c r="AC141" s="16"/>
      <c r="AD141" s="12"/>
      <c r="AE141" s="12"/>
      <c r="AF141" s="16"/>
      <c r="AG141" s="12"/>
      <c r="AH141" s="12"/>
      <c r="AI141" s="16"/>
      <c r="AJ141" s="12"/>
      <c r="AK141" s="12"/>
      <c r="AL141" s="16"/>
      <c r="AM141" s="12"/>
      <c r="AN141" s="12"/>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row>
    <row r="142" spans="12:71" x14ac:dyDescent="0.2">
      <c r="L142" s="12"/>
      <c r="M142" s="12"/>
      <c r="N142" s="16"/>
      <c r="O142" s="12"/>
      <c r="P142" s="12"/>
      <c r="Q142" s="16"/>
      <c r="R142" s="12"/>
      <c r="S142" s="12"/>
      <c r="T142" s="16"/>
      <c r="U142" s="12"/>
      <c r="V142" s="12"/>
      <c r="W142" s="16"/>
      <c r="X142" s="12"/>
      <c r="Y142" s="12"/>
      <c r="Z142" s="16"/>
      <c r="AA142" s="12"/>
      <c r="AB142" s="12"/>
      <c r="AC142" s="16"/>
      <c r="AD142" s="12"/>
      <c r="AE142" s="12"/>
      <c r="AF142" s="16"/>
      <c r="AG142" s="12"/>
      <c r="AH142" s="12"/>
      <c r="AI142" s="16"/>
      <c r="AJ142" s="12"/>
      <c r="AK142" s="12"/>
      <c r="AL142" s="16"/>
      <c r="AM142" s="12"/>
      <c r="AN142" s="12"/>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row>
    <row r="143" spans="12:71" x14ac:dyDescent="0.2">
      <c r="L143" s="12"/>
      <c r="M143" s="12"/>
      <c r="N143" s="16"/>
      <c r="O143" s="12"/>
      <c r="P143" s="12"/>
      <c r="Q143" s="16"/>
      <c r="R143" s="12"/>
      <c r="S143" s="12"/>
      <c r="T143" s="16"/>
      <c r="U143" s="12"/>
      <c r="V143" s="12"/>
      <c r="W143" s="16"/>
      <c r="X143" s="12"/>
      <c r="Y143" s="12"/>
      <c r="Z143" s="16"/>
      <c r="AA143" s="12"/>
      <c r="AB143" s="12"/>
      <c r="AC143" s="16"/>
      <c r="AD143" s="12"/>
      <c r="AE143" s="12"/>
      <c r="AF143" s="16"/>
      <c r="AG143" s="12"/>
      <c r="AH143" s="12"/>
      <c r="AI143" s="16"/>
      <c r="AJ143" s="12"/>
      <c r="AK143" s="12"/>
      <c r="AL143" s="16"/>
      <c r="AM143" s="12"/>
      <c r="AN143" s="12"/>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row>
    <row r="144" spans="12:71" x14ac:dyDescent="0.2">
      <c r="L144" s="12"/>
      <c r="M144" s="12"/>
      <c r="N144" s="16"/>
      <c r="O144" s="12"/>
      <c r="P144" s="12"/>
      <c r="Q144" s="16"/>
      <c r="R144" s="12"/>
      <c r="S144" s="12"/>
      <c r="T144" s="16"/>
      <c r="U144" s="12"/>
      <c r="V144" s="12"/>
      <c r="W144" s="16"/>
      <c r="X144" s="12"/>
      <c r="Y144" s="12"/>
      <c r="Z144" s="16"/>
      <c r="AA144" s="12"/>
      <c r="AB144" s="12"/>
      <c r="AC144" s="16"/>
      <c r="AD144" s="12"/>
      <c r="AE144" s="12"/>
      <c r="AF144" s="16"/>
      <c r="AG144" s="12"/>
      <c r="AH144" s="12"/>
      <c r="AI144" s="16"/>
      <c r="AJ144" s="12"/>
      <c r="AK144" s="12"/>
      <c r="AL144" s="16"/>
      <c r="AM144" s="12"/>
      <c r="AN144" s="12"/>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row>
    <row r="145" spans="12:71" x14ac:dyDescent="0.2">
      <c r="L145" s="12"/>
      <c r="M145" s="12"/>
      <c r="N145" s="16"/>
      <c r="O145" s="12"/>
      <c r="P145" s="12"/>
      <c r="Q145" s="16"/>
      <c r="R145" s="12"/>
      <c r="S145" s="12"/>
      <c r="T145" s="16"/>
      <c r="U145" s="12"/>
      <c r="V145" s="12"/>
      <c r="W145" s="16"/>
      <c r="X145" s="12"/>
      <c r="Y145" s="12"/>
      <c r="Z145" s="16"/>
      <c r="AA145" s="12"/>
      <c r="AB145" s="12"/>
      <c r="AC145" s="16"/>
      <c r="AD145" s="12"/>
      <c r="AE145" s="12"/>
      <c r="AF145" s="16"/>
      <c r="AG145" s="12"/>
      <c r="AH145" s="12"/>
      <c r="AI145" s="16"/>
      <c r="AJ145" s="12"/>
      <c r="AK145" s="12"/>
      <c r="AL145" s="16"/>
      <c r="AM145" s="12"/>
      <c r="AN145" s="12"/>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row>
    <row r="146" spans="12:71" x14ac:dyDescent="0.2">
      <c r="L146" s="12"/>
      <c r="M146" s="12"/>
      <c r="N146" s="16"/>
      <c r="O146" s="12"/>
      <c r="P146" s="12"/>
      <c r="Q146" s="16"/>
      <c r="R146" s="12"/>
      <c r="S146" s="12"/>
      <c r="T146" s="16"/>
      <c r="U146" s="12"/>
      <c r="V146" s="12"/>
      <c r="W146" s="16"/>
      <c r="X146" s="12"/>
      <c r="Y146" s="12"/>
      <c r="Z146" s="16"/>
      <c r="AA146" s="12"/>
      <c r="AB146" s="12"/>
      <c r="AC146" s="16"/>
      <c r="AD146" s="12"/>
      <c r="AE146" s="12"/>
      <c r="AF146" s="16"/>
      <c r="AG146" s="12"/>
      <c r="AH146" s="12"/>
      <c r="AI146" s="16"/>
      <c r="AJ146" s="12"/>
      <c r="AK146" s="12"/>
      <c r="AL146" s="16"/>
      <c r="AM146" s="12"/>
      <c r="AN146" s="12"/>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row>
  </sheetData>
  <sheetProtection formatRows="0" insertRows="0" selectLockedCells="1"/>
  <protectedRanges>
    <protectedRange password="F692" sqref="B18:C18 E18:G18 B48:H48 E40:G40 B22:C22 E22:G22 B40:C40 E26:G26 B26:C26 E37:G37 B37:C37 B19:H21 B23:H25 B38:H39 B27:H36 B42:D42 B46:D46 B47:C47 C51:H51 B15:H17 E42:H47 B43:C45" name="Rango1_1_1_2"/>
    <protectedRange password="F692" sqref="J46 J42 J51 M46 P46 S46 V46 Y46 AB46 AE46 AH46 AK46 AN46 AQ46 AT46 AW46 AZ46 BC46 BF46 BI46 BL46 BO46 BR46 M42 P42 S42 V42 Y42 AB42 AE42 AH42 AK42 AN42 AQ42 AT42 AW42 AZ42 BC42 BF42 BI42 BL42 BO42 BR42 M51 P51 S51 V51 Y51 AB51 AE51 AH51 AK51 AN51 AQ51 AT51 AW51 AZ51 BC51 BF51 BI51 BL51 BO51 BR51" name="Rango1_1_1_3"/>
    <protectedRange password="F692" sqref="J47:J48 M47:M48 P47:P48 S47:S48 V47:V48 Y47:Y48 AB47:AB48 AE47:AE48 AH47:AH48 AK47:AK48 AN47:AN48 AQ47:AQ48 AT47:AT48 AW47:AW48 AZ47:AZ48 BC47:BC48 BF47:BF48 BI47:BI48 BL47:BL48 BO47:BO48 BR47:BR48" name="Rango1_1_1_3_2"/>
    <protectedRange password="F692" sqref="B14:C14 E14:H14 H18 H40 H22 H26 H37" name="Rango1_1_1_2_3"/>
    <protectedRange password="F692" sqref="J49:J50 M49:M50 P49:P50 S49:S50 V49:V50 Y49:Y50 AB49:AB50 AE49:AE50 AH49:AH50 AK49:AK50 AN49:AN50 AQ49:AQ50 AT49:AT50 AW49:AW50 AZ49:AZ50 BC49:BC50 BF49:BF50 BI49:BI50 BL49:BL50 BO49:BO50 BR49:BR50" name="Rango1_1_1_3_6"/>
    <protectedRange password="F692" sqref="H49:H50" name="Rango1_1_1_2_2_1"/>
    <protectedRange password="F692" sqref="E49:G50" name="Rango1_1_1_1_1_1_1"/>
    <protectedRange password="F692" sqref="B41:H41" name="Rango1_1_1_2_4"/>
  </protectedRanges>
  <mergeCells count="143">
    <mergeCell ref="B47:F47"/>
    <mergeCell ref="B49:G49"/>
    <mergeCell ref="AV54:AX57"/>
    <mergeCell ref="AY54:BA57"/>
    <mergeCell ref="BB54:BD57"/>
    <mergeCell ref="BE54:BG57"/>
    <mergeCell ref="BH54:BJ57"/>
    <mergeCell ref="BK54:BM57"/>
    <mergeCell ref="O53:Q53"/>
    <mergeCell ref="O54:Q57"/>
    <mergeCell ref="BH58:BJ61"/>
    <mergeCell ref="BK58:BM61"/>
    <mergeCell ref="BN58:BP61"/>
    <mergeCell ref="BQ58:BS61"/>
    <mergeCell ref="BN54:BP57"/>
    <mergeCell ref="BQ54:BS57"/>
    <mergeCell ref="AP53:AR53"/>
    <mergeCell ref="AS53:AU53"/>
    <mergeCell ref="AV53:AX53"/>
    <mergeCell ref="AY53:BA53"/>
    <mergeCell ref="BB53:BD53"/>
    <mergeCell ref="BE53:BG53"/>
    <mergeCell ref="BH53:BJ53"/>
    <mergeCell ref="BK53:BM53"/>
    <mergeCell ref="BN53:BP53"/>
    <mergeCell ref="BQ53:BS53"/>
    <mergeCell ref="I58:K61"/>
    <mergeCell ref="L58:N61"/>
    <mergeCell ref="O58:Q61"/>
    <mergeCell ref="AG58:AI61"/>
    <mergeCell ref="AS58:AU61"/>
    <mergeCell ref="AV58:AX61"/>
    <mergeCell ref="AY58:BA61"/>
    <mergeCell ref="BB58:BD61"/>
    <mergeCell ref="BE58:BG61"/>
    <mergeCell ref="AJ58:AL61"/>
    <mergeCell ref="AM58:AO61"/>
    <mergeCell ref="AP58:AR61"/>
    <mergeCell ref="R10:T10"/>
    <mergeCell ref="R11:T11"/>
    <mergeCell ref="R12:T12"/>
    <mergeCell ref="R53:T53"/>
    <mergeCell ref="R54:T57"/>
    <mergeCell ref="R58:T61"/>
    <mergeCell ref="AP54:AR57"/>
    <mergeCell ref="AD12:AF12"/>
    <mergeCell ref="AD53:AF53"/>
    <mergeCell ref="AD54:AF57"/>
    <mergeCell ref="AA10:AC10"/>
    <mergeCell ref="AA11:AC11"/>
    <mergeCell ref="AA12:AC12"/>
    <mergeCell ref="AA53:AC53"/>
    <mergeCell ref="AA54:AC57"/>
    <mergeCell ref="AM12:AO12"/>
    <mergeCell ref="AM53:AO53"/>
    <mergeCell ref="AM54:AO57"/>
    <mergeCell ref="AP10:AR10"/>
    <mergeCell ref="AP11:AR11"/>
    <mergeCell ref="AP12:AR12"/>
    <mergeCell ref="H58:H61"/>
    <mergeCell ref="U58:W61"/>
    <mergeCell ref="X58:Z61"/>
    <mergeCell ref="AA58:AC61"/>
    <mergeCell ref="AD58:AF61"/>
    <mergeCell ref="I10:K10"/>
    <mergeCell ref="H54:H57"/>
    <mergeCell ref="B11:H11"/>
    <mergeCell ref="B12:H12"/>
    <mergeCell ref="I54:K57"/>
    <mergeCell ref="I53:K53"/>
    <mergeCell ref="I11:K11"/>
    <mergeCell ref="I12:K12"/>
    <mergeCell ref="O10:Q10"/>
    <mergeCell ref="O11:Q11"/>
    <mergeCell ref="O12:Q12"/>
    <mergeCell ref="U12:W12"/>
    <mergeCell ref="U53:W53"/>
    <mergeCell ref="U54:W57"/>
    <mergeCell ref="AD10:AF10"/>
    <mergeCell ref="L10:N10"/>
    <mergeCell ref="L11:N11"/>
    <mergeCell ref="L12:N12"/>
    <mergeCell ref="L53:N53"/>
    <mergeCell ref="AS12:AU12"/>
    <mergeCell ref="AS54:AU57"/>
    <mergeCell ref="B50:G50"/>
    <mergeCell ref="B43:F43"/>
    <mergeCell ref="B44:F44"/>
    <mergeCell ref="AJ10:AL10"/>
    <mergeCell ref="AJ11:AL11"/>
    <mergeCell ref="AJ12:AL12"/>
    <mergeCell ref="AJ53:AL53"/>
    <mergeCell ref="AJ54:AL57"/>
    <mergeCell ref="AG10:AI10"/>
    <mergeCell ref="AG11:AI11"/>
    <mergeCell ref="AG12:AI12"/>
    <mergeCell ref="AG53:AI53"/>
    <mergeCell ref="AG54:AI57"/>
    <mergeCell ref="X10:Z10"/>
    <mergeCell ref="X11:Z11"/>
    <mergeCell ref="X12:Z12"/>
    <mergeCell ref="X53:Z53"/>
    <mergeCell ref="X54:Z57"/>
    <mergeCell ref="U10:W10"/>
    <mergeCell ref="U11:W11"/>
    <mergeCell ref="L54:N57"/>
    <mergeCell ref="B45:F45"/>
    <mergeCell ref="BN12:BP12"/>
    <mergeCell ref="BH12:BJ12"/>
    <mergeCell ref="BK10:BM10"/>
    <mergeCell ref="BK11:BM11"/>
    <mergeCell ref="BK12:BM12"/>
    <mergeCell ref="BQ10:BS10"/>
    <mergeCell ref="BQ11:BS11"/>
    <mergeCell ref="BQ12:BS12"/>
    <mergeCell ref="AV12:AX12"/>
    <mergeCell ref="AY10:BA10"/>
    <mergeCell ref="AY11:BA11"/>
    <mergeCell ref="BB10:BD10"/>
    <mergeCell ref="BB11:BD11"/>
    <mergeCell ref="BB12:BD12"/>
    <mergeCell ref="BE10:BG10"/>
    <mergeCell ref="BE11:BG11"/>
    <mergeCell ref="BE12:BG12"/>
    <mergeCell ref="BH10:BJ10"/>
    <mergeCell ref="BH11:BJ11"/>
    <mergeCell ref="AV10:AX10"/>
    <mergeCell ref="AV11:AX11"/>
    <mergeCell ref="AY12:BA12"/>
    <mergeCell ref="B1:H1"/>
    <mergeCell ref="B2:H2"/>
    <mergeCell ref="B3:H3"/>
    <mergeCell ref="B4:H4"/>
    <mergeCell ref="B5:H5"/>
    <mergeCell ref="B7:H7"/>
    <mergeCell ref="B9:H9"/>
    <mergeCell ref="BN10:BP10"/>
    <mergeCell ref="BN11:BP11"/>
    <mergeCell ref="AM10:AO10"/>
    <mergeCell ref="AM11:AO11"/>
    <mergeCell ref="AD11:AF11"/>
    <mergeCell ref="AS10:AU10"/>
    <mergeCell ref="AS11:AU11"/>
  </mergeCells>
  <phoneticPr fontId="4" type="noConversion"/>
  <conditionalFormatting sqref="I10:K10">
    <cfRule type="cellIs" dxfId="166" priority="31059" operator="equal">
      <formula>"NO ADMISIBLE"</formula>
    </cfRule>
    <cfRule type="cellIs" dxfId="165" priority="31060" operator="equal">
      <formula>"RECHAZO"</formula>
    </cfRule>
    <cfRule type="cellIs" dxfId="164" priority="31061" operator="equal">
      <formula>"ADMISIBLE"</formula>
    </cfRule>
  </conditionalFormatting>
  <conditionalFormatting sqref="L10:N10">
    <cfRule type="cellIs" dxfId="163" priority="18931" operator="equal">
      <formula>"NO ADMISIBLE"</formula>
    </cfRule>
    <cfRule type="cellIs" dxfId="162" priority="18932" operator="equal">
      <formula>"RECHAZO"</formula>
    </cfRule>
    <cfRule type="cellIs" dxfId="161" priority="18933" operator="equal">
      <formula>"ADMISIBLE"</formula>
    </cfRule>
  </conditionalFormatting>
  <conditionalFormatting sqref="O10:Q10">
    <cfRule type="cellIs" dxfId="160" priority="18921" operator="equal">
      <formula>"NO ADMISIBLE"</formula>
    </cfRule>
    <cfRule type="cellIs" dxfId="159" priority="18922" operator="equal">
      <formula>"RECHAZO"</formula>
    </cfRule>
    <cfRule type="cellIs" dxfId="158" priority="18923" operator="equal">
      <formula>"ADMISIBLE"</formula>
    </cfRule>
  </conditionalFormatting>
  <conditionalFormatting sqref="R10:T10">
    <cfRule type="cellIs" dxfId="157" priority="18911" operator="equal">
      <formula>"NO ADMISIBLE"</formula>
    </cfRule>
    <cfRule type="cellIs" dxfId="156" priority="18912" operator="equal">
      <formula>"RECHAZO"</formula>
    </cfRule>
    <cfRule type="cellIs" dxfId="155" priority="18913" operator="equal">
      <formula>"ADMISIBLE"</formula>
    </cfRule>
  </conditionalFormatting>
  <conditionalFormatting sqref="U10:W10">
    <cfRule type="cellIs" dxfId="154" priority="18901" operator="equal">
      <formula>"NO ADMISIBLE"</formula>
    </cfRule>
    <cfRule type="cellIs" dxfId="153" priority="18902" operator="equal">
      <formula>"RECHAZO"</formula>
    </cfRule>
    <cfRule type="cellIs" dxfId="152" priority="18903" operator="equal">
      <formula>"ADMISIBLE"</formula>
    </cfRule>
  </conditionalFormatting>
  <conditionalFormatting sqref="X10:Z10">
    <cfRule type="cellIs" dxfId="151" priority="18891" operator="equal">
      <formula>"NO ADMISIBLE"</formula>
    </cfRule>
    <cfRule type="cellIs" dxfId="150" priority="18892" operator="equal">
      <formula>"RECHAZO"</formula>
    </cfRule>
    <cfRule type="cellIs" dxfId="149" priority="18893" operator="equal">
      <formula>"ADMISIBLE"</formula>
    </cfRule>
  </conditionalFormatting>
  <conditionalFormatting sqref="AA10:AC10">
    <cfRule type="cellIs" dxfId="148" priority="18881" operator="equal">
      <formula>"NO ADMISIBLE"</formula>
    </cfRule>
    <cfRule type="cellIs" dxfId="147" priority="18882" operator="equal">
      <formula>"RECHAZO"</formula>
    </cfRule>
    <cfRule type="cellIs" dxfId="146" priority="18883" operator="equal">
      <formula>"ADMISIBLE"</formula>
    </cfRule>
  </conditionalFormatting>
  <conditionalFormatting sqref="AD10:AF10">
    <cfRule type="cellIs" dxfId="145" priority="18871" operator="equal">
      <formula>"NO ADMISIBLE"</formula>
    </cfRule>
    <cfRule type="cellIs" dxfId="144" priority="18872" operator="equal">
      <formula>"RECHAZO"</formula>
    </cfRule>
    <cfRule type="cellIs" dxfId="143" priority="18873" operator="equal">
      <formula>"ADMISIBLE"</formula>
    </cfRule>
  </conditionalFormatting>
  <conditionalFormatting sqref="AG10:AI10">
    <cfRule type="cellIs" dxfId="142" priority="18861" operator="equal">
      <formula>"NO ADMISIBLE"</formula>
    </cfRule>
    <cfRule type="cellIs" dxfId="141" priority="18862" operator="equal">
      <formula>"RECHAZO"</formula>
    </cfRule>
    <cfRule type="cellIs" dxfId="140" priority="18863" operator="equal">
      <formula>"ADMISIBLE"</formula>
    </cfRule>
  </conditionalFormatting>
  <conditionalFormatting sqref="H52">
    <cfRule type="cellIs" dxfId="139" priority="18733" operator="notEqual">
      <formula>""</formula>
    </cfRule>
  </conditionalFormatting>
  <conditionalFormatting sqref="K46:K48 K51 K42:K44">
    <cfRule type="cellIs" dxfId="138" priority="18731" operator="equal">
      <formula>"PARA REVISIÓN"</formula>
    </cfRule>
    <cfRule type="cellIs" dxfId="137" priority="18732" operator="equal">
      <formula>"CUMPLE"</formula>
    </cfRule>
  </conditionalFormatting>
  <conditionalFormatting sqref="AJ10:AL10">
    <cfRule type="cellIs" dxfId="136" priority="18723" operator="equal">
      <formula>"NO ADMISIBLE"</formula>
    </cfRule>
    <cfRule type="cellIs" dxfId="135" priority="18724" operator="equal">
      <formula>"RECHAZO"</formula>
    </cfRule>
    <cfRule type="cellIs" dxfId="134" priority="18725" operator="equal">
      <formula>"ADMISIBLE"</formula>
    </cfRule>
  </conditionalFormatting>
  <conditionalFormatting sqref="AM10:AO10">
    <cfRule type="cellIs" dxfId="133" priority="18720" operator="equal">
      <formula>"NO ADMISIBLE"</formula>
    </cfRule>
    <cfRule type="cellIs" dxfId="132" priority="18721" operator="equal">
      <formula>"RECHAZO"</formula>
    </cfRule>
    <cfRule type="cellIs" dxfId="131" priority="18722" operator="equal">
      <formula>"ADMISIBLE"</formula>
    </cfRule>
  </conditionalFormatting>
  <conditionalFormatting sqref="AP10:AR10">
    <cfRule type="cellIs" dxfId="130" priority="18717" operator="equal">
      <formula>"NO ADMISIBLE"</formula>
    </cfRule>
    <cfRule type="cellIs" dxfId="129" priority="18718" operator="equal">
      <formula>"RECHAZO"</formula>
    </cfRule>
    <cfRule type="cellIs" dxfId="128" priority="18719" operator="equal">
      <formula>"ADMISIBLE"</formula>
    </cfRule>
  </conditionalFormatting>
  <conditionalFormatting sqref="AS10:AU10">
    <cfRule type="cellIs" dxfId="127" priority="18714" operator="equal">
      <formula>"NO ADMISIBLE"</formula>
    </cfRule>
    <cfRule type="cellIs" dxfId="126" priority="18715" operator="equal">
      <formula>"RECHAZO"</formula>
    </cfRule>
    <cfRule type="cellIs" dxfId="125" priority="18716" operator="equal">
      <formula>"ADMISIBLE"</formula>
    </cfRule>
  </conditionalFormatting>
  <conditionalFormatting sqref="AV10:AX10">
    <cfRule type="cellIs" dxfId="124" priority="18711" operator="equal">
      <formula>"NO ADMISIBLE"</formula>
    </cfRule>
    <cfRule type="cellIs" dxfId="123" priority="18712" operator="equal">
      <formula>"RECHAZO"</formula>
    </cfRule>
    <cfRule type="cellIs" dxfId="122" priority="18713" operator="equal">
      <formula>"ADMISIBLE"</formula>
    </cfRule>
  </conditionalFormatting>
  <conditionalFormatting sqref="AY10:BA10">
    <cfRule type="cellIs" dxfId="121" priority="18708" operator="equal">
      <formula>"NO ADMISIBLE"</formula>
    </cfRule>
    <cfRule type="cellIs" dxfId="120" priority="18709" operator="equal">
      <formula>"RECHAZO"</formula>
    </cfRule>
    <cfRule type="cellIs" dxfId="119" priority="18710" operator="equal">
      <formula>"ADMISIBLE"</formula>
    </cfRule>
  </conditionalFormatting>
  <conditionalFormatting sqref="BB10:BD10">
    <cfRule type="cellIs" dxfId="118" priority="18705" operator="equal">
      <formula>"NO ADMISIBLE"</formula>
    </cfRule>
    <cfRule type="cellIs" dxfId="117" priority="18706" operator="equal">
      <formula>"RECHAZO"</formula>
    </cfRule>
    <cfRule type="cellIs" dxfId="116" priority="18707" operator="equal">
      <formula>"ADMISIBLE"</formula>
    </cfRule>
  </conditionalFormatting>
  <conditionalFormatting sqref="BE10:BG10">
    <cfRule type="cellIs" dxfId="115" priority="18702" operator="equal">
      <formula>"NO ADMISIBLE"</formula>
    </cfRule>
    <cfRule type="cellIs" dxfId="114" priority="18703" operator="equal">
      <formula>"RECHAZO"</formula>
    </cfRule>
    <cfRule type="cellIs" dxfId="113" priority="18704" operator="equal">
      <formula>"ADMISIBLE"</formula>
    </cfRule>
  </conditionalFormatting>
  <conditionalFormatting sqref="BH10:BJ10">
    <cfRule type="cellIs" dxfId="112" priority="18699" operator="equal">
      <formula>"NO ADMISIBLE"</formula>
    </cfRule>
    <cfRule type="cellIs" dxfId="111" priority="18700" operator="equal">
      <formula>"RECHAZO"</formula>
    </cfRule>
    <cfRule type="cellIs" dxfId="110" priority="18701" operator="equal">
      <formula>"ADMISIBLE"</formula>
    </cfRule>
  </conditionalFormatting>
  <conditionalFormatting sqref="BK10:BM10">
    <cfRule type="cellIs" dxfId="109" priority="18696" operator="equal">
      <formula>"NO ADMISIBLE"</formula>
    </cfRule>
    <cfRule type="cellIs" dxfId="108" priority="18697" operator="equal">
      <formula>"RECHAZO"</formula>
    </cfRule>
    <cfRule type="cellIs" dxfId="107" priority="18698" operator="equal">
      <formula>"ADMISIBLE"</formula>
    </cfRule>
  </conditionalFormatting>
  <conditionalFormatting sqref="BN10:BP10">
    <cfRule type="cellIs" dxfId="106" priority="18693" operator="equal">
      <formula>"NO ADMISIBLE"</formula>
    </cfRule>
    <cfRule type="cellIs" dxfId="105" priority="18694" operator="equal">
      <formula>"RECHAZO"</formula>
    </cfRule>
    <cfRule type="cellIs" dxfId="104" priority="18695" operator="equal">
      <formula>"ADMISIBLE"</formula>
    </cfRule>
  </conditionalFormatting>
  <conditionalFormatting sqref="BQ10:BS10">
    <cfRule type="cellIs" dxfId="103" priority="18690" operator="equal">
      <formula>"NO ADMISIBLE"</formula>
    </cfRule>
    <cfRule type="cellIs" dxfId="102" priority="18691" operator="equal">
      <formula>"RECHAZO"</formula>
    </cfRule>
    <cfRule type="cellIs" dxfId="101" priority="18692" operator="equal">
      <formula>"ADMISIBLE"</formula>
    </cfRule>
  </conditionalFormatting>
  <conditionalFormatting sqref="K20 K24:K25 K28:K35">
    <cfRule type="cellIs" dxfId="100" priority="18626" operator="equal">
      <formula>"NO VÁLIDA"</formula>
    </cfRule>
    <cfRule type="cellIs" dxfId="99" priority="18627" operator="equal">
      <formula>"VÁLIDA"</formula>
    </cfRule>
  </conditionalFormatting>
  <conditionalFormatting sqref="K45">
    <cfRule type="cellIs" dxfId="98" priority="18612" operator="equal">
      <formula>"NO VÁLIDA"</formula>
    </cfRule>
    <cfRule type="cellIs" dxfId="97" priority="18613" operator="equal">
      <formula>"VÁLIDA"</formula>
    </cfRule>
  </conditionalFormatting>
  <conditionalFormatting sqref="J52">
    <cfRule type="cellIs" dxfId="96" priority="18548" operator="equal">
      <formula>"RECHAZO"</formula>
    </cfRule>
    <cfRule type="cellIs" dxfId="95" priority="18549" operator="equal">
      <formula>"NO ADMISIBLE"</formula>
    </cfRule>
    <cfRule type="cellIs" dxfId="94" priority="18550" operator="notBetween">
      <formula>"RECHAZO"</formula>
      <formula>"NO ADMISIBLE"</formula>
    </cfRule>
  </conditionalFormatting>
  <conditionalFormatting sqref="K52">
    <cfRule type="cellIs" dxfId="93" priority="18134" operator="equal">
      <formula>"NO VÁLIDA"</formula>
    </cfRule>
    <cfRule type="cellIs" dxfId="92" priority="18135" operator="equal">
      <formula>"VÁLIDA"</formula>
    </cfRule>
  </conditionalFormatting>
  <conditionalFormatting sqref="K14">
    <cfRule type="cellIs" dxfId="91" priority="17315" operator="equal">
      <formula>"PARA REVISIÓN"</formula>
    </cfRule>
    <cfRule type="cellIs" dxfId="90" priority="17316" operator="equal">
      <formula>"CUMPLE"</formula>
    </cfRule>
  </conditionalFormatting>
  <conditionalFormatting sqref="K15">
    <cfRule type="cellIs" dxfId="89" priority="17313" operator="equal">
      <formula>"NO VÁLIDA"</formula>
    </cfRule>
    <cfRule type="cellIs" dxfId="88" priority="17314" operator="equal">
      <formula>"VÁLIDA"</formula>
    </cfRule>
  </conditionalFormatting>
  <conditionalFormatting sqref="K18">
    <cfRule type="cellIs" dxfId="87" priority="12576" operator="equal">
      <formula>"PARA REVISIÓN"</formula>
    </cfRule>
    <cfRule type="cellIs" dxfId="86" priority="12577" operator="equal">
      <formula>"CUMPLE"</formula>
    </cfRule>
  </conditionalFormatting>
  <conditionalFormatting sqref="K19">
    <cfRule type="cellIs" dxfId="85" priority="12574" operator="equal">
      <formula>"NO VÁLIDA"</formula>
    </cfRule>
    <cfRule type="cellIs" dxfId="84" priority="12575" operator="equal">
      <formula>"VÁLIDA"</formula>
    </cfRule>
  </conditionalFormatting>
  <conditionalFormatting sqref="K21">
    <cfRule type="cellIs" dxfId="83" priority="5673" operator="equal">
      <formula>"NO VÁLIDA"</formula>
    </cfRule>
    <cfRule type="cellIs" dxfId="82" priority="5674" operator="equal">
      <formula>"VÁLIDA"</formula>
    </cfRule>
  </conditionalFormatting>
  <conditionalFormatting sqref="K23">
    <cfRule type="cellIs" dxfId="81" priority="4132" operator="equal">
      <formula>"NO VÁLIDA"</formula>
    </cfRule>
    <cfRule type="cellIs" dxfId="80" priority="4133" operator="equal">
      <formula>"VÁLIDA"</formula>
    </cfRule>
  </conditionalFormatting>
  <conditionalFormatting sqref="K22">
    <cfRule type="cellIs" dxfId="79" priority="1808" operator="equal">
      <formula>"PARA REVISIÓN"</formula>
    </cfRule>
    <cfRule type="cellIs" dxfId="78" priority="1809" operator="equal">
      <formula>"CUMPLE"</formula>
    </cfRule>
  </conditionalFormatting>
  <conditionalFormatting sqref="K40">
    <cfRule type="cellIs" dxfId="77" priority="1804" operator="equal">
      <formula>"PARA REVISIÓN"</formula>
    </cfRule>
    <cfRule type="cellIs" dxfId="76" priority="1805" operator="equal">
      <formula>"CUMPLE"</formula>
    </cfRule>
  </conditionalFormatting>
  <conditionalFormatting sqref="K49">
    <cfRule type="cellIs" dxfId="75" priority="1800" operator="equal">
      <formula>"NO VÁLIDA"</formula>
    </cfRule>
    <cfRule type="cellIs" dxfId="74" priority="1801" operator="equal">
      <formula>"VÁLIDA"</formula>
    </cfRule>
  </conditionalFormatting>
  <conditionalFormatting sqref="K27">
    <cfRule type="cellIs" dxfId="73" priority="1022" operator="equal">
      <formula>"NO VÁLIDA"</formula>
    </cfRule>
    <cfRule type="cellIs" dxfId="72" priority="1023" operator="equal">
      <formula>"VÁLIDA"</formula>
    </cfRule>
  </conditionalFormatting>
  <conditionalFormatting sqref="K36">
    <cfRule type="cellIs" dxfId="71" priority="1020" operator="equal">
      <formula>"NO VÁLIDA"</formula>
    </cfRule>
    <cfRule type="cellIs" dxfId="70" priority="1021" operator="equal">
      <formula>"VÁLIDA"</formula>
    </cfRule>
  </conditionalFormatting>
  <conditionalFormatting sqref="K26">
    <cfRule type="cellIs" dxfId="69" priority="1018" operator="equal">
      <formula>"PARA REVISIÓN"</formula>
    </cfRule>
    <cfRule type="cellIs" dxfId="68" priority="1019" operator="equal">
      <formula>"CUMPLE"</formula>
    </cfRule>
  </conditionalFormatting>
  <conditionalFormatting sqref="K38">
    <cfRule type="cellIs" dxfId="67" priority="1016" operator="equal">
      <formula>"NO VÁLIDA"</formula>
    </cfRule>
    <cfRule type="cellIs" dxfId="66" priority="1017" operator="equal">
      <formula>"VÁLIDA"</formula>
    </cfRule>
  </conditionalFormatting>
  <conditionalFormatting sqref="K39">
    <cfRule type="cellIs" dxfId="65" priority="1014" operator="equal">
      <formula>"NO VÁLIDA"</formula>
    </cfRule>
    <cfRule type="cellIs" dxfId="64" priority="1015" operator="equal">
      <formula>"VÁLIDA"</formula>
    </cfRule>
  </conditionalFormatting>
  <conditionalFormatting sqref="K37">
    <cfRule type="cellIs" dxfId="63" priority="1012" operator="equal">
      <formula>"PARA REVISIÓN"</formula>
    </cfRule>
    <cfRule type="cellIs" dxfId="62" priority="1013" operator="equal">
      <formula>"CUMPLE"</formula>
    </cfRule>
  </conditionalFormatting>
  <conditionalFormatting sqref="K41">
    <cfRule type="cellIs" dxfId="61" priority="544" operator="equal">
      <formula>"NO VÁLIDA"</formula>
    </cfRule>
    <cfRule type="cellIs" dxfId="60" priority="545" operator="equal">
      <formula>"VÁLIDA"</formula>
    </cfRule>
  </conditionalFormatting>
  <conditionalFormatting sqref="K50">
    <cfRule type="cellIs" dxfId="59" priority="538" operator="equal">
      <formula>"NO VÁLIDA"</formula>
    </cfRule>
    <cfRule type="cellIs" dxfId="58" priority="539" operator="equal">
      <formula>"VÁLIDA"</formula>
    </cfRule>
  </conditionalFormatting>
  <conditionalFormatting sqref="K16:K17">
    <cfRule type="cellIs" dxfId="57" priority="377" operator="equal">
      <formula>"NO VÁLIDA"</formula>
    </cfRule>
    <cfRule type="cellIs" dxfId="56" priority="378" operator="equal">
      <formula>"VÁLIDA"</formula>
    </cfRule>
  </conditionalFormatting>
  <conditionalFormatting sqref="N46:N48 Q46:Q48 T46:T48 W46:W48 Z46:Z48 AC46:AC48 AF46:AF48 AI46:AI48 AL46:AL48 AO46:AO48 AR46:AR48 AU46:AU48 AX46:AX48 BA46:BA48 BD46:BD48 BG46:BG48 BJ46:BJ48 BM46:BM48 BP46:BP48 BS46:BS48 N51 Q51 T51 W51 Z51 AC51 AF51 AI51 AL51 AO51 AR51 AU51 AX51 BA51 BD51 BG51 BJ51 BM51 BP51 BS51 N42:N44 Q42:Q44 T42:T44 W42:W44 Z42:Z44 AC42:AC44 AF42:AF44 AI42:AI44 AL42:AL44 AO42:AO44 AR42:AR44 AU42:AU44 AX42:AX44 BA42:BA44 BD42:BD44 BG42:BG44 BJ42:BJ44 BM42:BM44 BP42:BP44 BS42:BS44">
    <cfRule type="cellIs" dxfId="55" priority="46" operator="equal">
      <formula>"PARA REVISIÓN"</formula>
    </cfRule>
    <cfRule type="cellIs" dxfId="54" priority="47" operator="equal">
      <formula>"CUMPLE"</formula>
    </cfRule>
  </conditionalFormatting>
  <conditionalFormatting sqref="N20 Q20 T20 W20 Z20 AC20 AF20 AI20 AL20 AO20 AR20 AU20 AX20 BA20 BD20 BG20 BJ20 BM20 BP20 BS20 N24:N25 Q24:Q25 T24:T25 W24:W25 Z24:Z25 AC24:AC25 AF24:AF25 AI24:AI25 AL24:AL25 AO24:AO25 AR24:AR25 AU24:AU25 AX24:AX25 BA24:BA25 BD24:BD25 BG24:BG25 BJ24:BJ25 BM24:BM25 BP24:BP25 BS24:BS25 N28:N35 Q28:Q35 T28:T35 W28:W35 Z28:Z35 AC28:AC35 AF28:AF35 AI28:AI35 AL28:AL35 AO28:AO35 AR28:AR35 AU28:AU35 AX28:AX35 BA28:BA35 BD28:BD35 BG28:BG35 BJ28:BJ35 BM28:BM35 BP28:BP35 BS28:BS35">
    <cfRule type="cellIs" dxfId="53" priority="44" operator="equal">
      <formula>"NO VÁLIDA"</formula>
    </cfRule>
    <cfRule type="cellIs" dxfId="52" priority="45" operator="equal">
      <formula>"VÁLIDA"</formula>
    </cfRule>
  </conditionalFormatting>
  <conditionalFormatting sqref="N45 Q45 T45 W45 Z45 AC45 AF45 AI45 AL45 AO45 AR45 AU45 AX45 BA45 BD45 BG45 BJ45 BM45 BP45 BS45">
    <cfRule type="cellIs" dxfId="51" priority="42" operator="equal">
      <formula>"NO VÁLIDA"</formula>
    </cfRule>
    <cfRule type="cellIs" dxfId="50" priority="43" operator="equal">
      <formula>"VÁLIDA"</formula>
    </cfRule>
  </conditionalFormatting>
  <conditionalFormatting sqref="M52 P52 S52 V52 Y52 AB52 AE52 AH52 AK52 AN52 AQ52 AT52 AW52 AZ52 BC52 BF52 BI52 BL52 BO52 BR52">
    <cfRule type="cellIs" dxfId="49" priority="39" operator="equal">
      <formula>"RECHAZO"</formula>
    </cfRule>
    <cfRule type="cellIs" dxfId="48" priority="40" operator="equal">
      <formula>"NO ADMISIBLE"</formula>
    </cfRule>
    <cfRule type="cellIs" dxfId="47" priority="41" operator="notBetween">
      <formula>"RECHAZO"</formula>
      <formula>"NO ADMISIBLE"</formula>
    </cfRule>
  </conditionalFormatting>
  <conditionalFormatting sqref="N52 Q52 T52 W52 Z52 AC52 AF52 AI52 AL52 AO52 AR52 AU52 AX52 BA52 BD52 BG52 BJ52 BM52 BP52 BS52">
    <cfRule type="cellIs" dxfId="46" priority="37" operator="equal">
      <formula>"NO VÁLIDA"</formula>
    </cfRule>
    <cfRule type="cellIs" dxfId="45" priority="38" operator="equal">
      <formula>"VÁLIDA"</formula>
    </cfRule>
  </conditionalFormatting>
  <conditionalFormatting sqref="N14 Q14 T14 W14 Z14 AC14 AF14 AI14 AL14 AO14 AR14 AU14 AX14 BA14 BD14 BG14 BJ14 BM14 BP14 BS14">
    <cfRule type="cellIs" dxfId="44" priority="35" operator="equal">
      <formula>"PARA REVISIÓN"</formula>
    </cfRule>
    <cfRule type="cellIs" dxfId="43" priority="36" operator="equal">
      <formula>"CUMPLE"</formula>
    </cfRule>
  </conditionalFormatting>
  <conditionalFormatting sqref="N15 Q15 T15 W15 Z15 AC15 AF15 AI15 AL15 AO15 AR15 AU15 AX15 BA15 BD15 BG15 BJ15 BM15 BP15 BS15">
    <cfRule type="cellIs" dxfId="42" priority="33" operator="equal">
      <formula>"NO VÁLIDA"</formula>
    </cfRule>
    <cfRule type="cellIs" dxfId="41" priority="34" operator="equal">
      <formula>"VÁLIDA"</formula>
    </cfRule>
  </conditionalFormatting>
  <conditionalFormatting sqref="N18 Q18 T18 W18 Z18 AC18 AF18 AI18 AL18 AO18 AR18 AU18 AX18 BA18 BD18 BG18 BJ18 BM18 BP18 BS18">
    <cfRule type="cellIs" dxfId="40" priority="31" operator="equal">
      <formula>"PARA REVISIÓN"</formula>
    </cfRule>
    <cfRule type="cellIs" dxfId="39" priority="32" operator="equal">
      <formula>"CUMPLE"</formula>
    </cfRule>
  </conditionalFormatting>
  <conditionalFormatting sqref="N19 Q19 T19 W19 Z19 AC19 AF19 AI19 AL19 AO19 AR19 AU19 AX19 BA19 BD19 BG19 BJ19 BM19 BP19 BS19">
    <cfRule type="cellIs" dxfId="38" priority="29" operator="equal">
      <formula>"NO VÁLIDA"</formula>
    </cfRule>
    <cfRule type="cellIs" dxfId="37" priority="30" operator="equal">
      <formula>"VÁLIDA"</formula>
    </cfRule>
  </conditionalFormatting>
  <conditionalFormatting sqref="N21 Q21 T21 W21 Z21 AC21 AF21 AI21 AL21 AO21 AR21 AU21 AX21 BA21 BD21 BG21 BJ21 BM21 BP21 BS21">
    <cfRule type="cellIs" dxfId="36" priority="27" operator="equal">
      <formula>"NO VÁLIDA"</formula>
    </cfRule>
    <cfRule type="cellIs" dxfId="35" priority="28" operator="equal">
      <formula>"VÁLIDA"</formula>
    </cfRule>
  </conditionalFormatting>
  <conditionalFormatting sqref="N23 Q23 T23 W23 Z23 AC23 AF23 AI23 AL23 AO23 AR23 AU23 AX23 BA23 BD23 BG23 BJ23 BM23 BP23 BS23">
    <cfRule type="cellIs" dxfId="34" priority="25" operator="equal">
      <formula>"NO VÁLIDA"</formula>
    </cfRule>
    <cfRule type="cellIs" dxfId="33" priority="26" operator="equal">
      <formula>"VÁLIDA"</formula>
    </cfRule>
  </conditionalFormatting>
  <conditionalFormatting sqref="N22 Q22 T22 W22 Z22 AC22 AF22 AI22 AL22 AO22 AR22 AU22 AX22 BA22 BD22 BG22 BJ22 BM22 BP22 BS22">
    <cfRule type="cellIs" dxfId="32" priority="23" operator="equal">
      <formula>"PARA REVISIÓN"</formula>
    </cfRule>
    <cfRule type="cellIs" dxfId="31" priority="24" operator="equal">
      <formula>"CUMPLE"</formula>
    </cfRule>
  </conditionalFormatting>
  <conditionalFormatting sqref="N40 Q40 T40 W40 Z40 AC40 AF40 AI40 AL40 AO40 AR40 AU40 AX40 BA40 BD40 BG40 BJ40 BM40 BP40 BS40">
    <cfRule type="cellIs" dxfId="30" priority="21" operator="equal">
      <formula>"PARA REVISIÓN"</formula>
    </cfRule>
    <cfRule type="cellIs" dxfId="29" priority="22" operator="equal">
      <formula>"CUMPLE"</formula>
    </cfRule>
  </conditionalFormatting>
  <conditionalFormatting sqref="N49 Q49 T49 W49 Z49 AC49 AF49 AI49 AL49 AO49 AR49 AU49 AX49 BA49 BD49 BG49 BJ49 BM49 BP49 BS49">
    <cfRule type="cellIs" dxfId="28" priority="19" operator="equal">
      <formula>"NO VÁLIDA"</formula>
    </cfRule>
    <cfRule type="cellIs" dxfId="27" priority="20" operator="equal">
      <formula>"VÁLIDA"</formula>
    </cfRule>
  </conditionalFormatting>
  <conditionalFormatting sqref="N27 Q27 T27 W27 Z27 AC27 AF27 AI27 AL27 AO27 AR27 AU27 AX27 BA27 BD27 BG27 BJ27 BM27 BP27 BS27">
    <cfRule type="cellIs" dxfId="26" priority="17" operator="equal">
      <formula>"NO VÁLIDA"</formula>
    </cfRule>
    <cfRule type="cellIs" dxfId="25" priority="18" operator="equal">
      <formula>"VÁLIDA"</formula>
    </cfRule>
  </conditionalFormatting>
  <conditionalFormatting sqref="N36 Q36 T36 W36 Z36 AC36 AF36 AI36 AL36 AO36 AR36 AU36 AX36 BA36 BD36 BG36 BJ36 BM36 BP36 BS36">
    <cfRule type="cellIs" dxfId="24" priority="15" operator="equal">
      <formula>"NO VÁLIDA"</formula>
    </cfRule>
    <cfRule type="cellIs" dxfId="23" priority="16" operator="equal">
      <formula>"VÁLIDA"</formula>
    </cfRule>
  </conditionalFormatting>
  <conditionalFormatting sqref="N26 Q26 T26 W26 Z26 AC26 AF26 AI26 AL26 AO26 AR26 AU26 AX26 BA26 BD26 BG26 BJ26 BM26 BP26 BS26">
    <cfRule type="cellIs" dxfId="22" priority="13" operator="equal">
      <formula>"PARA REVISIÓN"</formula>
    </cfRule>
    <cfRule type="cellIs" dxfId="21" priority="14" operator="equal">
      <formula>"CUMPLE"</formula>
    </cfRule>
  </conditionalFormatting>
  <conditionalFormatting sqref="N38 Q38 T38 W38 Z38 AC38 AF38 AI38 AL38 AO38 AR38 AU38 AX38 BA38 BD38 BG38 BJ38 BM38 BP38 BS38">
    <cfRule type="cellIs" dxfId="20" priority="11" operator="equal">
      <formula>"NO VÁLIDA"</formula>
    </cfRule>
    <cfRule type="cellIs" dxfId="19" priority="12" operator="equal">
      <formula>"VÁLIDA"</formula>
    </cfRule>
  </conditionalFormatting>
  <conditionalFormatting sqref="N39 Q39 T39 W39 Z39 AC39 AF39 AI39 AL39 AO39 AR39 AU39 AX39 BA39 BD39 BG39 BJ39 BM39 BP39 BS39">
    <cfRule type="cellIs" dxfId="18" priority="9" operator="equal">
      <formula>"NO VÁLIDA"</formula>
    </cfRule>
    <cfRule type="cellIs" dxfId="17" priority="10" operator="equal">
      <formula>"VÁLIDA"</formula>
    </cfRule>
  </conditionalFormatting>
  <conditionalFormatting sqref="N37 Q37 T37 W37 Z37 AC37 AF37 AI37 AL37 AO37 AR37 AU37 AX37 BA37 BD37 BG37 BJ37 BM37 BP37 BS37">
    <cfRule type="cellIs" dxfId="16" priority="7" operator="equal">
      <formula>"PARA REVISIÓN"</formula>
    </cfRule>
    <cfRule type="cellIs" dxfId="15" priority="8" operator="equal">
      <formula>"CUMPLE"</formula>
    </cfRule>
  </conditionalFormatting>
  <conditionalFormatting sqref="N41 Q41 T41 W41 Z41 AC41 AF41 AI41 AL41 AO41 AR41 AU41 AX41 BA41 BD41 BG41 BJ41 BM41 BP41 BS41">
    <cfRule type="cellIs" dxfId="14" priority="5" operator="equal">
      <formula>"NO VÁLIDA"</formula>
    </cfRule>
    <cfRule type="cellIs" dxfId="13" priority="6" operator="equal">
      <formula>"VÁLIDA"</formula>
    </cfRule>
  </conditionalFormatting>
  <conditionalFormatting sqref="N50 Q50 T50 W50 Z50 AC50 AF50 AI50 AL50 AO50 AR50 AU50 AX50 BA50 BD50 BG50 BJ50 BM50 BP50 BS50">
    <cfRule type="cellIs" dxfId="12" priority="3" operator="equal">
      <formula>"NO VÁLIDA"</formula>
    </cfRule>
    <cfRule type="cellIs" dxfId="11" priority="4" operator="equal">
      <formula>"VÁLIDA"</formula>
    </cfRule>
  </conditionalFormatting>
  <conditionalFormatting sqref="N16:N17 Q16:Q17 T16:T17 W16:W17 Z16:Z17 AC16:AC17 AF16:AF17 AI16:AI17 AL16:AL17 AO16:AO17 AR16:AR17 AU16:AU17 AX16:AX17 BA16:BA17 BD16:BD17 BG16:BG17 BJ16:BJ17 BM16:BM17 BP16:BP17 BS16:BS17">
    <cfRule type="cellIs" dxfId="10" priority="1" operator="equal">
      <formula>"NO VÁLIDA"</formula>
    </cfRule>
    <cfRule type="cellIs" dxfId="9" priority="2" operator="equal">
      <formula>"VÁLIDA"</formula>
    </cfRule>
  </conditionalFormatting>
  <printOptions horizontalCentered="1"/>
  <pageMargins left="0.23622047244094491" right="0.23622047244094491" top="0.74803149606299213" bottom="0.74803149606299213" header="0.31496062992125984" footer="0.31496062992125984"/>
  <pageSetup scale="48" orientation="landscape" horizontalDpi="1200" verticalDpi="1200" r:id="rId1"/>
  <headerFooter alignWithMargins="0">
    <oddFooter>&amp;L&amp;9&amp;F&amp;A&amp;C&amp;P de &amp;N&amp;R&amp;9INSTITUTO NACIONAL DE VIAS&amp;D</oddFooter>
  </headerFooter>
  <ignoredErrors>
    <ignoredError sqref="H53:H57 I53:K5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pageSetUpPr fitToPage="1"/>
  </sheetPr>
  <dimension ref="B1:AL94"/>
  <sheetViews>
    <sheetView showGridLines="0" topLeftCell="A14" zoomScale="90" zoomScaleNormal="90" workbookViewId="0">
      <selection activeCell="B16" sqref="B16"/>
    </sheetView>
  </sheetViews>
  <sheetFormatPr baseColWidth="10" defaultColWidth="11.42578125" defaultRowHeight="12.75" outlineLevelRow="1" x14ac:dyDescent="0.2"/>
  <cols>
    <col min="1" max="1" width="2.7109375" style="43" customWidth="1"/>
    <col min="2" max="3" width="8.28515625" style="43" customWidth="1"/>
    <col min="4" max="4" width="44.28515625" style="43" customWidth="1"/>
    <col min="5" max="5" width="21.5703125" style="43" customWidth="1"/>
    <col min="6" max="6" width="20.7109375" style="43" customWidth="1"/>
    <col min="7" max="7" width="15.42578125" style="43" bestFit="1" customWidth="1"/>
    <col min="8" max="8" width="28.7109375" style="45" bestFit="1" customWidth="1"/>
    <col min="9" max="9" width="13.7109375" style="41" hidden="1" customWidth="1"/>
    <col min="10" max="10" width="13.7109375" style="42" hidden="1" customWidth="1"/>
    <col min="11" max="13" width="13.7109375" style="43" hidden="1" customWidth="1"/>
    <col min="14" max="14" width="19.5703125" style="43" bestFit="1" customWidth="1"/>
    <col min="15" max="15" width="50" style="45" bestFit="1" customWidth="1"/>
    <col min="16" max="16" width="22.28515625" style="45" bestFit="1" customWidth="1"/>
    <col min="17" max="38" width="22.28515625" style="43" bestFit="1" customWidth="1"/>
    <col min="39" max="16384" width="11.42578125" style="43"/>
  </cols>
  <sheetData>
    <row r="1" spans="2:17" ht="18" x14ac:dyDescent="0.2">
      <c r="B1" s="329" t="str">
        <f>RESUMEN!B1</f>
        <v>FIDUPREVISORA</v>
      </c>
      <c r="C1" s="329"/>
      <c r="D1" s="329"/>
      <c r="E1" s="329"/>
      <c r="F1" s="329"/>
      <c r="G1" s="329"/>
      <c r="H1" s="329"/>
    </row>
    <row r="2" spans="2:17" x14ac:dyDescent="0.2">
      <c r="B2" s="330"/>
      <c r="C2" s="330"/>
      <c r="D2" s="330"/>
      <c r="E2" s="330"/>
      <c r="F2" s="330"/>
      <c r="G2" s="330"/>
      <c r="H2" s="330"/>
    </row>
    <row r="3" spans="2:17" x14ac:dyDescent="0.2">
      <c r="B3" s="330" t="str">
        <f>RESUMEN!B3</f>
        <v>PATRIMONIO AUTÓNOMO FIDEICOMISO ECOPETROL ZOMAC (en adelante PATRIMONIO AUTÓNOMO) FIDUCIARIA LA PREVISORA S.A.</v>
      </c>
      <c r="C3" s="330"/>
      <c r="D3" s="330"/>
      <c r="E3" s="330"/>
      <c r="F3" s="330"/>
      <c r="G3" s="330"/>
      <c r="H3" s="330"/>
    </row>
    <row r="4" spans="2:17" x14ac:dyDescent="0.2">
      <c r="B4" s="330"/>
      <c r="C4" s="330"/>
      <c r="D4" s="330"/>
      <c r="E4" s="330"/>
      <c r="F4" s="330"/>
      <c r="G4" s="330"/>
      <c r="H4" s="330"/>
    </row>
    <row r="5" spans="2:17" x14ac:dyDescent="0.2">
      <c r="B5" s="330" t="str">
        <f>RESUMEN!B5</f>
        <v>LICITACIÓN PRIVADA ABIERTA N° 007 DE 2018</v>
      </c>
      <c r="C5" s="330"/>
      <c r="D5" s="330"/>
      <c r="E5" s="330"/>
      <c r="F5" s="330"/>
      <c r="G5" s="330"/>
      <c r="H5" s="330"/>
    </row>
    <row r="6" spans="2:17" ht="15.75" x14ac:dyDescent="0.2">
      <c r="B6" s="49"/>
      <c r="C6" s="49"/>
      <c r="D6" s="44"/>
      <c r="E6" s="44"/>
      <c r="F6" s="44"/>
      <c r="G6" s="44"/>
      <c r="H6" s="44"/>
    </row>
    <row r="7" spans="2:17" x14ac:dyDescent="0.2">
      <c r="B7" s="330" t="str">
        <f>RESUMEN!B7</f>
        <v>PROYECTO No. 2: MEJORAMIENTO MEDIANTE CONSTRUCCIÓN DE PLACA HUELLA DE VÍAS TERCIARIAS DEL MUNICIPIO DE LA GLORIA, DEPARTAMENTO DEL CESAR VINCULADOS AL CONTRIBUYENTE ECOPETROL S.A. DENTRO DEL MARCO DEL MECANISMO DE OBRAS POR IMPUESTOS</v>
      </c>
      <c r="C7" s="330"/>
      <c r="D7" s="330"/>
      <c r="E7" s="330"/>
      <c r="F7" s="330"/>
      <c r="G7" s="330"/>
      <c r="H7" s="330"/>
    </row>
    <row r="8" spans="2:17" ht="15.75" x14ac:dyDescent="0.2">
      <c r="B8" s="49"/>
      <c r="C8" s="49"/>
      <c r="D8" s="44"/>
      <c r="E8" s="44"/>
      <c r="F8" s="44"/>
      <c r="G8" s="44"/>
      <c r="H8" s="44"/>
    </row>
    <row r="9" spans="2:17" ht="15.75" customHeight="1" x14ac:dyDescent="0.2">
      <c r="B9" s="347" t="s">
        <v>23</v>
      </c>
      <c r="C9" s="347"/>
      <c r="D9" s="347"/>
      <c r="E9" s="347"/>
      <c r="F9" s="347"/>
      <c r="G9" s="347"/>
      <c r="H9" s="347"/>
    </row>
    <row r="10" spans="2:17" ht="16.5" customHeight="1" x14ac:dyDescent="0.2">
      <c r="B10" s="389" t="s">
        <v>24</v>
      </c>
      <c r="C10" s="389"/>
      <c r="D10" s="389"/>
      <c r="E10" s="389"/>
      <c r="F10" s="389"/>
      <c r="G10" s="389"/>
      <c r="H10" s="389"/>
      <c r="Q10"/>
    </row>
    <row r="11" spans="2:17" ht="16.5" thickBot="1" x14ac:dyDescent="0.25">
      <c r="B11" s="50"/>
      <c r="C11" s="50"/>
      <c r="D11" s="44"/>
      <c r="E11" s="44"/>
      <c r="F11" s="44"/>
      <c r="G11" s="44"/>
      <c r="H11" s="44"/>
    </row>
    <row r="12" spans="2:17" ht="15.75" thickBot="1" x14ac:dyDescent="0.25">
      <c r="B12" s="408" t="s">
        <v>41</v>
      </c>
      <c r="C12" s="409"/>
      <c r="D12" s="409"/>
      <c r="E12" s="409"/>
      <c r="F12" s="409"/>
      <c r="G12" s="409"/>
      <c r="H12" s="410"/>
      <c r="O12" s="295" t="s">
        <v>117</v>
      </c>
    </row>
    <row r="13" spans="2:17" ht="13.5" thickBot="1" x14ac:dyDescent="0.25">
      <c r="B13" s="86" t="s">
        <v>91</v>
      </c>
      <c r="C13" s="87"/>
      <c r="D13" s="88"/>
      <c r="E13" s="88"/>
      <c r="F13" s="88"/>
      <c r="G13" s="119" t="s">
        <v>42</v>
      </c>
      <c r="H13" s="120">
        <v>3196.3</v>
      </c>
      <c r="O13" s="203">
        <v>2</v>
      </c>
    </row>
    <row r="14" spans="2:17" ht="13.5" thickBot="1" x14ac:dyDescent="0.25">
      <c r="B14" s="89"/>
      <c r="C14" s="87"/>
      <c r="D14" s="88"/>
      <c r="E14" s="88"/>
      <c r="F14" s="88"/>
      <c r="G14" s="119" t="s">
        <v>43</v>
      </c>
      <c r="H14" s="121">
        <f>100*(H13-INT(H13))</f>
        <v>30.00000000001819</v>
      </c>
    </row>
    <row r="15" spans="2:17" ht="15.75" thickBot="1" x14ac:dyDescent="0.25">
      <c r="B15" s="90" t="s">
        <v>75</v>
      </c>
      <c r="C15" s="91"/>
      <c r="D15" s="92"/>
      <c r="E15" s="419" t="str">
        <f>IF(OR($O$13=1,$O$16="NO APLICA"),IF(AND(H14&gt;=0,H14&lt;=33),"MEDIA ARITMETICA",IF(AND(H14&gt;=34,H14&lt;=66),"MEDIA ARITMETICA ALTA",IF(AND(H14&gt;=67,H14&lt;=99),"MEDIA GEOMETRICA CON PRESUPUESTO ESTIMADO","MENOR VALOR"))),IF(O16="MEDIA ARITMÉTICA","MEDIA ARITMETICA ALTA",IF(O16="MEDIA ARITMÉTICA ALTA","MEDIA GEOMETRICA CON PRESUPUESTO ESTIMADO",IF(O16="MEDIA GEOMÉTRICA CON PRESUPUESTO ESTIMADO","MEDIA ARITMETICA"))))</f>
        <v>MEDIA ARITMETICA ALTA</v>
      </c>
      <c r="F15" s="419"/>
      <c r="G15" s="419"/>
      <c r="H15" s="420"/>
      <c r="O15" s="295" t="s">
        <v>86</v>
      </c>
    </row>
    <row r="16" spans="2:17" ht="16.5" thickBot="1" x14ac:dyDescent="0.25">
      <c r="B16" s="50"/>
      <c r="C16" s="50"/>
      <c r="D16" s="44"/>
      <c r="E16" s="44"/>
      <c r="F16" s="44"/>
      <c r="G16" s="44"/>
      <c r="H16" s="44"/>
      <c r="O16" s="203" t="s">
        <v>88</v>
      </c>
    </row>
    <row r="17" spans="2:16" ht="15.6" customHeight="1" x14ac:dyDescent="0.2">
      <c r="B17" s="408" t="s">
        <v>44</v>
      </c>
      <c r="C17" s="409"/>
      <c r="D17" s="409"/>
      <c r="E17" s="409"/>
      <c r="F17" s="409"/>
      <c r="G17" s="409"/>
      <c r="H17" s="410"/>
    </row>
    <row r="18" spans="2:16" outlineLevel="1" x14ac:dyDescent="0.2">
      <c r="B18" s="89"/>
      <c r="C18" s="97"/>
      <c r="D18" s="93"/>
      <c r="E18" s="94"/>
      <c r="F18" s="94"/>
      <c r="G18" s="97" t="s">
        <v>45</v>
      </c>
      <c r="H18" s="105">
        <f>COUNT(E44:E64)</f>
        <v>12</v>
      </c>
    </row>
    <row r="19" spans="2:16" outlineLevel="1" x14ac:dyDescent="0.2">
      <c r="B19" s="98"/>
      <c r="C19" s="97"/>
      <c r="D19" s="93"/>
      <c r="E19" s="94"/>
      <c r="F19" s="94"/>
      <c r="G19" s="97" t="s">
        <v>49</v>
      </c>
      <c r="H19" s="108">
        <f>IF(H18=0,0,MIN(E44:E64))</f>
        <v>3575937471</v>
      </c>
    </row>
    <row r="20" spans="2:16" outlineLevel="1" x14ac:dyDescent="0.2">
      <c r="B20" s="98"/>
      <c r="C20" s="97"/>
      <c r="D20" s="93"/>
      <c r="E20" s="94"/>
      <c r="F20" s="94"/>
      <c r="G20" s="97" t="s">
        <v>50</v>
      </c>
      <c r="H20" s="108">
        <f>IF(H18=0,0,MAX(E44:E64))</f>
        <v>3638451855</v>
      </c>
    </row>
    <row r="21" spans="2:16" outlineLevel="1" x14ac:dyDescent="0.2">
      <c r="B21" s="89"/>
      <c r="C21" s="99"/>
      <c r="D21" s="93"/>
      <c r="E21" s="94"/>
      <c r="F21" s="94"/>
      <c r="G21" s="97" t="s">
        <v>56</v>
      </c>
      <c r="H21" s="108">
        <f>IF(H18=0,0,AVERAGE(E44:E64))</f>
        <v>3602422363.5833335</v>
      </c>
    </row>
    <row r="22" spans="2:16" outlineLevel="1" x14ac:dyDescent="0.2">
      <c r="B22" s="89"/>
      <c r="C22" s="99"/>
      <c r="D22" s="93"/>
      <c r="E22" s="94"/>
      <c r="F22" s="94"/>
      <c r="G22" s="97" t="s">
        <v>57</v>
      </c>
      <c r="H22" s="108">
        <f>IF(H18=0,0,MEDIAN(E44:E64))</f>
        <v>3600403976</v>
      </c>
    </row>
    <row r="23" spans="2:16" outlineLevel="1" x14ac:dyDescent="0.2">
      <c r="B23" s="89"/>
      <c r="C23" s="99"/>
      <c r="D23" s="93"/>
      <c r="E23" s="94"/>
      <c r="F23" s="94"/>
      <c r="G23" s="97" t="s">
        <v>58</v>
      </c>
      <c r="H23" s="108">
        <f>IF(OR(H18=0,H18=1),0,STDEV(E44:E64))</f>
        <v>20107795.065323967</v>
      </c>
    </row>
    <row r="24" spans="2:16" outlineLevel="1" x14ac:dyDescent="0.2">
      <c r="B24" s="100"/>
      <c r="C24" s="101"/>
      <c r="D24" s="93"/>
      <c r="E24" s="94"/>
      <c r="F24" s="94"/>
      <c r="G24" s="97" t="s">
        <v>59</v>
      </c>
      <c r="H24" s="108">
        <f>'VR-PROP'!$H$52</f>
        <v>3638680686</v>
      </c>
    </row>
    <row r="25" spans="2:16" ht="13.5" outlineLevel="1" thickBot="1" x14ac:dyDescent="0.25">
      <c r="B25" s="102"/>
      <c r="C25" s="103"/>
      <c r="D25" s="95"/>
      <c r="E25" s="96"/>
      <c r="F25" s="96"/>
      <c r="G25" s="104" t="s">
        <v>46</v>
      </c>
      <c r="H25" s="106">
        <v>900</v>
      </c>
    </row>
    <row r="26" spans="2:16" customFormat="1" ht="13.5" outlineLevel="1" thickBot="1" x14ac:dyDescent="0.25">
      <c r="O26" s="200"/>
      <c r="P26" s="200"/>
    </row>
    <row r="27" spans="2:16" ht="16.149999999999999" customHeight="1" outlineLevel="1" x14ac:dyDescent="0.2">
      <c r="B27" s="392" t="s">
        <v>60</v>
      </c>
      <c r="C27" s="393"/>
      <c r="D27" s="393"/>
      <c r="E27" s="393"/>
      <c r="F27" s="393"/>
      <c r="G27" s="393"/>
      <c r="H27" s="394"/>
    </row>
    <row r="28" spans="2:16" outlineLevel="1" x14ac:dyDescent="0.2">
      <c r="B28" s="411" t="s">
        <v>47</v>
      </c>
      <c r="C28" s="412"/>
      <c r="D28" s="412"/>
      <c r="E28" s="412"/>
      <c r="F28" s="412"/>
      <c r="G28" s="413"/>
      <c r="H28" s="107">
        <f>H21</f>
        <v>3602422363.5833335</v>
      </c>
    </row>
    <row r="29" spans="2:16" ht="15" outlineLevel="1" x14ac:dyDescent="0.2">
      <c r="B29" s="395" t="s">
        <v>61</v>
      </c>
      <c r="C29" s="396"/>
      <c r="D29" s="396"/>
      <c r="E29" s="396"/>
      <c r="F29" s="396"/>
      <c r="G29" s="396"/>
      <c r="H29" s="397"/>
    </row>
    <row r="30" spans="2:16" outlineLevel="1" x14ac:dyDescent="0.2">
      <c r="B30" s="411" t="s">
        <v>48</v>
      </c>
      <c r="C30" s="412"/>
      <c r="D30" s="412"/>
      <c r="E30" s="412"/>
      <c r="F30" s="412"/>
      <c r="G30" s="413"/>
      <c r="H30" s="107">
        <f>AVERAGE(H20,H21)</f>
        <v>3620437109.291667</v>
      </c>
    </row>
    <row r="31" spans="2:16" ht="15" outlineLevel="1" x14ac:dyDescent="0.2">
      <c r="B31" s="395" t="s">
        <v>193</v>
      </c>
      <c r="C31" s="396"/>
      <c r="D31" s="396"/>
      <c r="E31" s="396"/>
      <c r="F31" s="396"/>
      <c r="G31" s="396"/>
      <c r="H31" s="397"/>
    </row>
    <row r="32" spans="2:16" outlineLevel="1" x14ac:dyDescent="0.2">
      <c r="B32" s="411" t="s">
        <v>78</v>
      </c>
      <c r="C32" s="412"/>
      <c r="D32" s="412"/>
      <c r="E32" s="412"/>
      <c r="F32" s="412"/>
      <c r="G32" s="413"/>
      <c r="H32" s="107">
        <f>IF(H18=0,0,ROUNDUP(H18/3,0))</f>
        <v>4</v>
      </c>
    </row>
    <row r="33" spans="2:34" ht="13.5" hidden="1" outlineLevel="1" x14ac:dyDescent="0.2">
      <c r="B33" s="411" t="s">
        <v>76</v>
      </c>
      <c r="C33" s="412"/>
      <c r="D33" s="412"/>
      <c r="E33" s="412"/>
      <c r="F33" s="412"/>
      <c r="G33" s="413"/>
      <c r="H33" s="109">
        <f>IF(H18=0,0,PRODUCT(F44:F64))</f>
        <v>4775966.0639614547</v>
      </c>
      <c r="I33" s="159"/>
    </row>
    <row r="34" spans="2:34" ht="13.5" hidden="1" outlineLevel="1" x14ac:dyDescent="0.2">
      <c r="B34" s="411" t="s">
        <v>77</v>
      </c>
      <c r="C34" s="412"/>
      <c r="D34" s="412"/>
      <c r="E34" s="412"/>
      <c r="F34" s="412"/>
      <c r="G34" s="413"/>
      <c r="H34" s="109">
        <f>POWER(H24/1000000000,H32)</f>
        <v>175.29752412605473</v>
      </c>
      <c r="I34" s="159"/>
    </row>
    <row r="35" spans="2:34" ht="13.15" customHeight="1" outlineLevel="1" thickBot="1" x14ac:dyDescent="0.25">
      <c r="B35" s="416" t="s">
        <v>194</v>
      </c>
      <c r="C35" s="417"/>
      <c r="D35" s="417"/>
      <c r="E35" s="417"/>
      <c r="F35" s="417"/>
      <c r="G35" s="418"/>
      <c r="H35" s="110">
        <f>IF(H18=0,0,1000000000*POWER(H33*H34,1/(H18+H32)))</f>
        <v>3611414300.2440968</v>
      </c>
      <c r="I35" s="160"/>
    </row>
    <row r="36" spans="2:34" outlineLevel="1" x14ac:dyDescent="0.2">
      <c r="B36" s="122"/>
      <c r="C36" s="122"/>
      <c r="D36" s="122"/>
      <c r="E36" s="122"/>
      <c r="F36" s="122"/>
      <c r="G36" s="122"/>
      <c r="H36" s="123"/>
      <c r="I36"/>
    </row>
    <row r="37" spans="2:34" ht="16.5" outlineLevel="1" thickBot="1" x14ac:dyDescent="0.3">
      <c r="B37" s="82"/>
      <c r="C37" s="82"/>
      <c r="D37" s="82"/>
      <c r="E37" s="83"/>
      <c r="F37" s="83"/>
      <c r="G37" s="44"/>
      <c r="H37" s="44"/>
      <c r="I37"/>
    </row>
    <row r="38" spans="2:34" s="42" customFormat="1" ht="40.5" customHeight="1" thickBot="1" x14ac:dyDescent="0.25">
      <c r="B38" s="414" t="s">
        <v>62</v>
      </c>
      <c r="C38" s="415"/>
      <c r="D38" s="415"/>
      <c r="E38" s="398" t="str">
        <f>E15</f>
        <v>MEDIA ARITMETICA ALTA</v>
      </c>
      <c r="F38" s="398"/>
      <c r="G38" s="398"/>
      <c r="H38" s="299">
        <f>IF(E38="MEDIA ARITMETICA",H28,IF(E38="MEDIA ARITMETICA ALTA",H30,IF(E38="MEDIA GEOMETRICA CON PRESUPUESTO ESTIMADO",H35,IF(E38="MENOR VALOR",#REF!,""))))</f>
        <v>3620437109.291667</v>
      </c>
      <c r="I38" s="158"/>
      <c r="O38" s="201"/>
      <c r="P38" s="201"/>
    </row>
    <row r="39" spans="2:34" ht="15.75" x14ac:dyDescent="0.25">
      <c r="B39" s="82"/>
      <c r="C39" s="82"/>
      <c r="D39" s="82"/>
      <c r="E39" s="83"/>
      <c r="F39" s="83"/>
      <c r="G39" s="44"/>
      <c r="H39" s="44"/>
      <c r="I39"/>
    </row>
    <row r="40" spans="2:34" ht="16.5" thickBot="1" x14ac:dyDescent="0.25">
      <c r="B40" s="50"/>
      <c r="C40" s="50"/>
      <c r="D40" s="44"/>
      <c r="E40" s="44"/>
      <c r="F40" s="44"/>
      <c r="G40" s="44"/>
      <c r="H40" s="44"/>
    </row>
    <row r="41" spans="2:34" ht="15" x14ac:dyDescent="0.2">
      <c r="B41" s="399" t="s">
        <v>64</v>
      </c>
      <c r="C41" s="400"/>
      <c r="D41" s="400"/>
      <c r="E41" s="400"/>
      <c r="F41" s="400"/>
      <c r="G41" s="400"/>
      <c r="H41" s="401"/>
    </row>
    <row r="42" spans="2:34" ht="60" outlineLevel="1" x14ac:dyDescent="0.2">
      <c r="B42" s="423" t="s">
        <v>37</v>
      </c>
      <c r="C42" s="425" t="s">
        <v>12</v>
      </c>
      <c r="D42" s="427" t="s">
        <v>6</v>
      </c>
      <c r="E42" s="300" t="s">
        <v>118</v>
      </c>
      <c r="F42" s="300" t="s">
        <v>25</v>
      </c>
      <c r="G42" s="300" t="s">
        <v>27</v>
      </c>
      <c r="H42" s="301" t="s">
        <v>5</v>
      </c>
      <c r="I42" s="402" t="s">
        <v>55</v>
      </c>
      <c r="J42" s="390" t="s">
        <v>51</v>
      </c>
      <c r="K42" s="390" t="s">
        <v>52</v>
      </c>
      <c r="L42" s="390" t="s">
        <v>53</v>
      </c>
      <c r="M42" s="390" t="s">
        <v>54</v>
      </c>
      <c r="AE42" s="43" t="str">
        <f>UPPER(Q42)</f>
        <v/>
      </c>
      <c r="AF42" s="43" t="str">
        <f>UPPER(R42)</f>
        <v/>
      </c>
      <c r="AG42" s="43" t="str">
        <f>UPPER(S42)</f>
        <v/>
      </c>
      <c r="AH42" s="43" t="str">
        <f>UPPER(T42)</f>
        <v/>
      </c>
    </row>
    <row r="43" spans="2:34" ht="22.5" customHeight="1" outlineLevel="1" thickBot="1" x14ac:dyDescent="0.25">
      <c r="B43" s="424"/>
      <c r="C43" s="426"/>
      <c r="D43" s="428"/>
      <c r="E43" s="302" t="s">
        <v>26</v>
      </c>
      <c r="F43" s="302" t="s">
        <v>79</v>
      </c>
      <c r="G43" s="302" t="s">
        <v>14</v>
      </c>
      <c r="H43" s="303" t="s">
        <v>63</v>
      </c>
      <c r="I43" s="403"/>
      <c r="J43" s="391"/>
      <c r="K43" s="391"/>
      <c r="L43" s="391"/>
      <c r="M43" s="391"/>
    </row>
    <row r="44" spans="2:34" ht="26.25" customHeight="1" outlineLevel="1" x14ac:dyDescent="0.2">
      <c r="B44" s="181">
        <v>1</v>
      </c>
      <c r="C44" s="182">
        <f>RESUMEN!C15</f>
        <v>1</v>
      </c>
      <c r="D44" s="183" t="str">
        <f>VLOOKUP(C44,RESUMEN!$C$15:$D$35,2,0)</f>
        <v>CONSORCIO VIAL LA GLORIA</v>
      </c>
      <c r="E44" s="184">
        <f>IF(ISTEXT('VR-PROP'!$J$52),"DESCARTADO",'VR-PROP'!$J$52)</f>
        <v>3605837741</v>
      </c>
      <c r="F44" s="185">
        <f>IF(ISTEXT(E44),"",E44/1000000000)</f>
        <v>3.6058377410000002</v>
      </c>
      <c r="G44" s="227">
        <f>IF(E44="DESCARTADO","DESCARTADO",(E44/$H$24)-1)</f>
        <v>-9.0260585729230458E-3</v>
      </c>
      <c r="H44" s="206">
        <f>IF(E44="DESCARTADO","DESCARTADO",IF(E44&lt;=$H$38,$H$25*(1-($H$38-E44)/$H$38),$H$25*(1-2*ABS($H$38-E44)/$H$38)))</f>
        <v>896.37076102529761</v>
      </c>
      <c r="I44" s="84">
        <f t="shared" ref="I44:I60" si="0">IF(ISTEXT(E44),"",E44/$H$24)</f>
        <v>0.99097394142707695</v>
      </c>
      <c r="J44" s="85">
        <f t="shared" ref="J44:J60" si="1">IF(ISTEXT(E44),"",E44/$H$28)</f>
        <v>1.0009480780075075</v>
      </c>
      <c r="K44" s="85">
        <f t="shared" ref="K44:K60" si="2">IF(ISTEXT(E44),"",E44/$H$30)</f>
        <v>0.99596751225033064</v>
      </c>
      <c r="L44" s="85">
        <f>IF(ISTEXT(E44),"",E44/$H$35)</f>
        <v>0.99845585170227635</v>
      </c>
      <c r="M44" s="85" t="e">
        <f>IF(ISTEXT(E44),"",E44/#REF!)</f>
        <v>#REF!</v>
      </c>
      <c r="N44" s="243">
        <f t="shared" ref="N44:N64" si="3">IF(E44="DESCARTADO","",COUNTIF($E$44:$E$64,E44))</f>
        <v>1</v>
      </c>
      <c r="O44" s="244" t="e">
        <f>IF(E44="DESCARTADO","",ABS(E44-E45))</f>
        <v>#VALUE!</v>
      </c>
      <c r="P44" s="225"/>
    </row>
    <row r="45" spans="2:34" ht="26.25" customHeight="1" outlineLevel="1" x14ac:dyDescent="0.2">
      <c r="B45" s="186">
        <v>2</v>
      </c>
      <c r="C45" s="187">
        <f>RESUMEN!C16</f>
        <v>2</v>
      </c>
      <c r="D45" s="188" t="str">
        <f>VLOOKUP(C45,RESUMEN!$C$15:$D$35,2,0)</f>
        <v>CONSORCIO NUEVAS VIAS 2018</v>
      </c>
      <c r="E45" s="189" t="str">
        <f>IF(ISTEXT('VR-PROP'!$M$52),"DESCARTADO",'VR-PROP'!$M$52)</f>
        <v>DESCARTADO</v>
      </c>
      <c r="F45" s="190" t="str">
        <f t="shared" ref="F45:F64" si="4">IF(ISTEXT(E45),"",E45/1000000000)</f>
        <v/>
      </c>
      <c r="G45" s="228" t="str">
        <f t="shared" ref="G45:G64" si="5">IF(E45="DESCARTADO","DESCARTADO",(E45/$H$24)-1)</f>
        <v>DESCARTADO</v>
      </c>
      <c r="H45" s="206" t="str">
        <f t="shared" ref="H45:H64" si="6">IF(E45="DESCARTADO","DESCARTADO",IF(E45&lt;=$H$38,$H$25*(1-($H$38-E45)/$H$38),$H$25*(1-2*ABS($H$38-E45)/$H$38)))</f>
        <v>DESCARTADO</v>
      </c>
      <c r="I45" s="84" t="str">
        <f t="shared" si="0"/>
        <v/>
      </c>
      <c r="J45" s="85" t="str">
        <f t="shared" si="1"/>
        <v/>
      </c>
      <c r="K45" s="85" t="str">
        <f t="shared" si="2"/>
        <v/>
      </c>
      <c r="L45" s="85" t="str">
        <f t="shared" ref="L45:L60" si="7">IF(ISTEXT(E45),"",E45/$H$35)</f>
        <v/>
      </c>
      <c r="M45" s="85" t="str">
        <f>IF(ISTEXT(E45),"",E45/#REF!)</f>
        <v/>
      </c>
      <c r="N45" s="243" t="str">
        <f t="shared" si="3"/>
        <v/>
      </c>
      <c r="O45" s="244" t="str">
        <f t="shared" ref="O45:O63" si="8">IF(E45="DESCARTADO","",ABS(E45-E46))</f>
        <v/>
      </c>
      <c r="P45" s="225"/>
    </row>
    <row r="46" spans="2:34" ht="26.25" customHeight="1" outlineLevel="1" x14ac:dyDescent="0.2">
      <c r="B46" s="186">
        <v>3</v>
      </c>
      <c r="C46" s="187">
        <f>RESUMEN!C17</f>
        <v>3</v>
      </c>
      <c r="D46" s="188" t="str">
        <f>VLOOKUP(C46,RESUMEN!$C$15:$D$35,2,0)</f>
        <v>UNION TEMPORAL VIAS 2018</v>
      </c>
      <c r="E46" s="189" t="str">
        <f>IF(ISTEXT('VR-PROP'!$P$52),"DESCARTADO",'VR-PROP'!$P$52)</f>
        <v>DESCARTADO</v>
      </c>
      <c r="F46" s="190" t="str">
        <f t="shared" si="4"/>
        <v/>
      </c>
      <c r="G46" s="228" t="str">
        <f t="shared" si="5"/>
        <v>DESCARTADO</v>
      </c>
      <c r="H46" s="206" t="str">
        <f t="shared" si="6"/>
        <v>DESCARTADO</v>
      </c>
      <c r="I46" s="84" t="str">
        <f t="shared" si="0"/>
        <v/>
      </c>
      <c r="J46" s="85" t="str">
        <f t="shared" si="1"/>
        <v/>
      </c>
      <c r="K46" s="85" t="str">
        <f t="shared" si="2"/>
        <v/>
      </c>
      <c r="L46" s="85" t="str">
        <f t="shared" si="7"/>
        <v/>
      </c>
      <c r="M46" s="85" t="str">
        <f>IF(ISTEXT(E46),"",E46/#REF!)</f>
        <v/>
      </c>
      <c r="N46" s="243" t="str">
        <f t="shared" si="3"/>
        <v/>
      </c>
      <c r="O46" s="244" t="str">
        <f t="shared" si="8"/>
        <v/>
      </c>
      <c r="P46" s="225"/>
    </row>
    <row r="47" spans="2:34" ht="26.25" customHeight="1" outlineLevel="1" x14ac:dyDescent="0.2">
      <c r="B47" s="186">
        <v>4</v>
      </c>
      <c r="C47" s="187">
        <f>RESUMEN!C18</f>
        <v>5</v>
      </c>
      <c r="D47" s="188" t="str">
        <f>VLOOKUP(C47,RESUMEN!$C$15:$D$35,2,0)</f>
        <v>R3 CONSTRUCTORES &amp; CONSULTORES SAS</v>
      </c>
      <c r="E47" s="189">
        <f>IF(ISTEXT('VR-PROP'!$S$52),"DESCARTADO",'VR-PROP'!$S$52)</f>
        <v>3638451855</v>
      </c>
      <c r="F47" s="190">
        <f t="shared" si="4"/>
        <v>3.638451855</v>
      </c>
      <c r="G47" s="228">
        <f t="shared" si="5"/>
        <v>-6.2888453191356497E-5</v>
      </c>
      <c r="H47" s="206">
        <f t="shared" si="6"/>
        <v>891.0434731232375</v>
      </c>
      <c r="I47" s="84">
        <f t="shared" si="0"/>
        <v>0.99993711154680864</v>
      </c>
      <c r="J47" s="85">
        <f t="shared" si="1"/>
        <v>1.0100014622885107</v>
      </c>
      <c r="K47" s="85">
        <f t="shared" si="2"/>
        <v>1.0049758482648681</v>
      </c>
      <c r="L47" s="85">
        <f t="shared" si="7"/>
        <v>1.0074866942721237</v>
      </c>
      <c r="M47" s="85" t="e">
        <f>IF(ISTEXT(E47),"",E47/#REF!)</f>
        <v>#REF!</v>
      </c>
      <c r="N47" s="243">
        <f t="shared" si="3"/>
        <v>1</v>
      </c>
      <c r="O47" s="244" t="e">
        <f t="shared" si="8"/>
        <v>#VALUE!</v>
      </c>
      <c r="P47" s="225"/>
    </row>
    <row r="48" spans="2:34" ht="26.25" customHeight="1" outlineLevel="1" x14ac:dyDescent="0.2">
      <c r="B48" s="186">
        <v>5</v>
      </c>
      <c r="C48" s="187">
        <f>RESUMEN!C19</f>
        <v>6</v>
      </c>
      <c r="D48" s="188" t="str">
        <f>VLOOKUP(C48,RESUMEN!$C$15:$D$35,2,0)</f>
        <v>UNION TEMPORAL ZOMAC-LA GLORIA</v>
      </c>
      <c r="E48" s="189" t="str">
        <f>IF(ISTEXT('VR-PROP'!$V$52),"DESCARTADO",'VR-PROP'!$V$52)</f>
        <v>DESCARTADO</v>
      </c>
      <c r="F48" s="190" t="str">
        <f t="shared" si="4"/>
        <v/>
      </c>
      <c r="G48" s="228" t="str">
        <f t="shared" si="5"/>
        <v>DESCARTADO</v>
      </c>
      <c r="H48" s="206" t="str">
        <f t="shared" si="6"/>
        <v>DESCARTADO</v>
      </c>
      <c r="I48" s="84" t="str">
        <f t="shared" si="0"/>
        <v/>
      </c>
      <c r="J48" s="85" t="str">
        <f t="shared" si="1"/>
        <v/>
      </c>
      <c r="K48" s="85" t="str">
        <f t="shared" si="2"/>
        <v/>
      </c>
      <c r="L48" s="85" t="str">
        <f t="shared" si="7"/>
        <v/>
      </c>
      <c r="M48" s="85" t="str">
        <f>IF(ISTEXT(E48),"",E48/#REF!)</f>
        <v/>
      </c>
      <c r="N48" s="243" t="str">
        <f t="shared" si="3"/>
        <v/>
      </c>
      <c r="O48" s="244" t="str">
        <f t="shared" si="8"/>
        <v/>
      </c>
      <c r="P48" s="225"/>
    </row>
    <row r="49" spans="2:16" ht="26.25" customHeight="1" outlineLevel="1" x14ac:dyDescent="0.2">
      <c r="B49" s="186">
        <v>6</v>
      </c>
      <c r="C49" s="187">
        <f>RESUMEN!C20</f>
        <v>7</v>
      </c>
      <c r="D49" s="188" t="str">
        <f>VLOOKUP(C49,RESUMEN!$C$15:$D$35,2,0)</f>
        <v>CONSTRUAMBIENTES SAS</v>
      </c>
      <c r="E49" s="189" t="str">
        <f>IF(ISTEXT('VR-PROP'!$Y$52),"DESCARTADO",'VR-PROP'!$Y$52)</f>
        <v>DESCARTADO</v>
      </c>
      <c r="F49" s="190" t="str">
        <f t="shared" si="4"/>
        <v/>
      </c>
      <c r="G49" s="228" t="str">
        <f t="shared" si="5"/>
        <v>DESCARTADO</v>
      </c>
      <c r="H49" s="206" t="str">
        <f t="shared" si="6"/>
        <v>DESCARTADO</v>
      </c>
      <c r="I49" s="84" t="str">
        <f t="shared" si="0"/>
        <v/>
      </c>
      <c r="J49" s="85" t="str">
        <f t="shared" si="1"/>
        <v/>
      </c>
      <c r="K49" s="85" t="str">
        <f t="shared" si="2"/>
        <v/>
      </c>
      <c r="L49" s="85" t="str">
        <f t="shared" si="7"/>
        <v/>
      </c>
      <c r="M49" s="85" t="str">
        <f>IF(ISTEXT(E49),"",E49/#REF!)</f>
        <v/>
      </c>
      <c r="N49" s="243" t="str">
        <f t="shared" si="3"/>
        <v/>
      </c>
      <c r="O49" s="244" t="str">
        <f t="shared" si="8"/>
        <v/>
      </c>
      <c r="P49" s="225"/>
    </row>
    <row r="50" spans="2:16" ht="26.25" customHeight="1" outlineLevel="1" x14ac:dyDescent="0.2">
      <c r="B50" s="186">
        <v>7</v>
      </c>
      <c r="C50" s="187">
        <f>RESUMEN!C21</f>
        <v>8</v>
      </c>
      <c r="D50" s="188" t="str">
        <f>VLOOKUP(C50,RESUMEN!$C$15:$D$35,2,0)</f>
        <v>CONSORCIO VIAL</v>
      </c>
      <c r="E50" s="189">
        <f>IF(ISTEXT('VR-PROP'!$AB$52),"DESCARTADO",'VR-PROP'!$AB$52)</f>
        <v>3594970211</v>
      </c>
      <c r="F50" s="190">
        <f t="shared" si="4"/>
        <v>3.5949702110000001</v>
      </c>
      <c r="G50" s="228">
        <f t="shared" si="5"/>
        <v>-1.2012726252176531E-2</v>
      </c>
      <c r="H50" s="206">
        <f t="shared" si="6"/>
        <v>893.66921513325656</v>
      </c>
      <c r="I50" s="84">
        <f t="shared" si="0"/>
        <v>0.98798727374782347</v>
      </c>
      <c r="J50" s="85">
        <f t="shared" si="1"/>
        <v>0.99793134956670637</v>
      </c>
      <c r="K50" s="85">
        <f t="shared" si="2"/>
        <v>0.99296579459250722</v>
      </c>
      <c r="L50" s="85">
        <f t="shared" si="7"/>
        <v>0.99544663451020132</v>
      </c>
      <c r="M50" s="85" t="e">
        <f>IF(ISTEXT(E50),"",E50/#REF!)</f>
        <v>#REF!</v>
      </c>
      <c r="N50" s="243">
        <f t="shared" si="3"/>
        <v>1</v>
      </c>
      <c r="O50" s="244">
        <f t="shared" si="8"/>
        <v>20113237</v>
      </c>
      <c r="P50" s="225"/>
    </row>
    <row r="51" spans="2:16" ht="26.25" customHeight="1" outlineLevel="1" x14ac:dyDescent="0.2">
      <c r="B51" s="186">
        <v>8</v>
      </c>
      <c r="C51" s="187">
        <f>RESUMEN!C22</f>
        <v>9</v>
      </c>
      <c r="D51" s="188" t="str">
        <f>VLOOKUP(C51,RESUMEN!$C$15:$D$35,2,0)</f>
        <v>CONSORCIO VIAS TERCIARIAS</v>
      </c>
      <c r="E51" s="189">
        <f>IF(ISTEXT('VR-PROP'!$AE$52),"DESCARTADO",'VR-PROP'!$AE$52)</f>
        <v>3615083448</v>
      </c>
      <c r="F51" s="190">
        <f t="shared" si="4"/>
        <v>3.615083448</v>
      </c>
      <c r="G51" s="228">
        <f t="shared" si="5"/>
        <v>-6.4851082126529125E-3</v>
      </c>
      <c r="H51" s="206">
        <f t="shared" si="6"/>
        <v>898.66913993613241</v>
      </c>
      <c r="I51" s="84">
        <f t="shared" si="0"/>
        <v>0.99351489178734709</v>
      </c>
      <c r="J51" s="85">
        <f t="shared" si="1"/>
        <v>1.0035146029917692</v>
      </c>
      <c r="K51" s="85">
        <f t="shared" si="2"/>
        <v>0.99852126659570273</v>
      </c>
      <c r="L51" s="85">
        <f t="shared" si="7"/>
        <v>1.0010159863839647</v>
      </c>
      <c r="M51" s="85" t="e">
        <f>IF(ISTEXT(E51),"",E51/#REF!)</f>
        <v>#REF!</v>
      </c>
      <c r="N51" s="243">
        <f t="shared" si="3"/>
        <v>1</v>
      </c>
      <c r="O51" s="244" t="e">
        <f t="shared" si="8"/>
        <v>#VALUE!</v>
      </c>
      <c r="P51" s="225"/>
    </row>
    <row r="52" spans="2:16" ht="26.25" customHeight="1" outlineLevel="1" x14ac:dyDescent="0.2">
      <c r="B52" s="186">
        <v>9</v>
      </c>
      <c r="C52" s="187">
        <f>RESUMEN!C23</f>
        <v>10</v>
      </c>
      <c r="D52" s="188" t="str">
        <f>VLOOKUP(C52,RESUMEN!$C$15:$D$35,2,0)</f>
        <v>CONSORCIO LA GLORIA</v>
      </c>
      <c r="E52" s="189" t="str">
        <f>IF(ISTEXT('VR-PROP'!$AH$52),"DESCARTADO",'VR-PROP'!$AH$52)</f>
        <v>DESCARTADO</v>
      </c>
      <c r="F52" s="190" t="str">
        <f t="shared" si="4"/>
        <v/>
      </c>
      <c r="G52" s="228" t="str">
        <f t="shared" si="5"/>
        <v>DESCARTADO</v>
      </c>
      <c r="H52" s="206" t="str">
        <f t="shared" si="6"/>
        <v>DESCARTADO</v>
      </c>
      <c r="I52" s="84" t="str">
        <f t="shared" si="0"/>
        <v/>
      </c>
      <c r="J52" s="85" t="str">
        <f t="shared" si="1"/>
        <v/>
      </c>
      <c r="K52" s="85" t="str">
        <f t="shared" si="2"/>
        <v/>
      </c>
      <c r="L52" s="85" t="str">
        <f t="shared" si="7"/>
        <v/>
      </c>
      <c r="M52" s="85" t="str">
        <f>IF(ISTEXT(E52),"",E52/#REF!)</f>
        <v/>
      </c>
      <c r="N52" s="243" t="str">
        <f t="shared" si="3"/>
        <v/>
      </c>
      <c r="O52" s="244" t="str">
        <f t="shared" si="8"/>
        <v/>
      </c>
      <c r="P52" s="225"/>
    </row>
    <row r="53" spans="2:16" ht="26.25" customHeight="1" outlineLevel="1" x14ac:dyDescent="0.2">
      <c r="B53" s="186">
        <v>10</v>
      </c>
      <c r="C53" s="187">
        <f>RESUMEN!C24</f>
        <v>11</v>
      </c>
      <c r="D53" s="188" t="str">
        <f>VLOOKUP(C53,RESUMEN!$C$15:$D$35,2,0)</f>
        <v>CONSORCIO HUILA 2018</v>
      </c>
      <c r="E53" s="189">
        <f>IF(ISTEXT('VR-PROP'!$AK$52),"DESCARTADO",'VR-PROP'!$AK$52)</f>
        <v>3593946577</v>
      </c>
      <c r="F53" s="190">
        <f t="shared" si="4"/>
        <v>3.5939465770000001</v>
      </c>
      <c r="G53" s="228">
        <f t="shared" si="5"/>
        <v>-1.2294046348204302E-2</v>
      </c>
      <c r="H53" s="206">
        <f t="shared" si="6"/>
        <v>893.41475121848896</v>
      </c>
      <c r="I53" s="84">
        <f t="shared" si="0"/>
        <v>0.9877059536517957</v>
      </c>
      <c r="J53" s="85">
        <f t="shared" si="1"/>
        <v>0.99764719798849388</v>
      </c>
      <c r="K53" s="85">
        <f t="shared" si="2"/>
        <v>0.99268305690943215</v>
      </c>
      <c r="L53" s="85">
        <f t="shared" si="7"/>
        <v>0.99516319043126233</v>
      </c>
      <c r="M53" s="85" t="e">
        <f>IF(ISTEXT(E53),"",E53/#REF!)</f>
        <v>#REF!</v>
      </c>
      <c r="N53" s="243">
        <f t="shared" si="3"/>
        <v>1</v>
      </c>
      <c r="O53" s="244" t="e">
        <f t="shared" si="8"/>
        <v>#VALUE!</v>
      </c>
      <c r="P53" s="225"/>
    </row>
    <row r="54" spans="2:16" ht="26.25" customHeight="1" outlineLevel="1" x14ac:dyDescent="0.2">
      <c r="B54" s="186">
        <v>11</v>
      </c>
      <c r="C54" s="187">
        <f>RESUMEN!C25</f>
        <v>13</v>
      </c>
      <c r="D54" s="188" t="str">
        <f>VLOOKUP(C54,RESUMEN!$C$15:$D$35,2,0)</f>
        <v>CONSORCIO B&amp;B LA GLORIA</v>
      </c>
      <c r="E54" s="189" t="str">
        <f>IF(ISTEXT('VR-PROP'!$AN$52),"DESCARTADO",'VR-PROP'!$AN$52)</f>
        <v>DESCARTADO</v>
      </c>
      <c r="F54" s="190" t="str">
        <f t="shared" si="4"/>
        <v/>
      </c>
      <c r="G54" s="228" t="str">
        <f t="shared" si="5"/>
        <v>DESCARTADO</v>
      </c>
      <c r="H54" s="206" t="str">
        <f t="shared" si="6"/>
        <v>DESCARTADO</v>
      </c>
      <c r="I54" s="84" t="str">
        <f t="shared" si="0"/>
        <v/>
      </c>
      <c r="J54" s="85" t="str">
        <f t="shared" si="1"/>
        <v/>
      </c>
      <c r="K54" s="85" t="str">
        <f t="shared" si="2"/>
        <v/>
      </c>
      <c r="L54" s="85" t="str">
        <f t="shared" si="7"/>
        <v/>
      </c>
      <c r="M54" s="85" t="str">
        <f>IF(ISTEXT(E54),"",E54/#REF!)</f>
        <v/>
      </c>
      <c r="N54" s="243" t="str">
        <f t="shared" si="3"/>
        <v/>
      </c>
      <c r="O54" s="244" t="str">
        <f t="shared" si="8"/>
        <v/>
      </c>
      <c r="P54" s="225"/>
    </row>
    <row r="55" spans="2:16" ht="26.25" customHeight="1" outlineLevel="1" x14ac:dyDescent="0.2">
      <c r="B55" s="186">
        <v>12</v>
      </c>
      <c r="C55" s="187">
        <f>RESUMEN!C26</f>
        <v>16</v>
      </c>
      <c r="D55" s="188" t="str">
        <f>VLOOKUP(C55,RESUMEN!$C$15:$D$35,2,0)</f>
        <v>CONSORCIO PROYECTO 1</v>
      </c>
      <c r="E55" s="189" t="str">
        <f>IF(ISTEXT('VR-PROP'!$AQ$52),"DESCARTADO",'VR-PROP'!$AQ$52)</f>
        <v>DESCARTADO</v>
      </c>
      <c r="F55" s="190" t="str">
        <f t="shared" si="4"/>
        <v/>
      </c>
      <c r="G55" s="228" t="str">
        <f t="shared" si="5"/>
        <v>DESCARTADO</v>
      </c>
      <c r="H55" s="206" t="str">
        <f t="shared" si="6"/>
        <v>DESCARTADO</v>
      </c>
      <c r="I55" s="84" t="str">
        <f t="shared" si="0"/>
        <v/>
      </c>
      <c r="J55" s="85" t="str">
        <f t="shared" si="1"/>
        <v/>
      </c>
      <c r="K55" s="85" t="str">
        <f t="shared" si="2"/>
        <v/>
      </c>
      <c r="L55" s="85" t="str">
        <f t="shared" si="7"/>
        <v/>
      </c>
      <c r="M55" s="85" t="str">
        <f>IF(ISTEXT(E55),"",E55/#REF!)</f>
        <v/>
      </c>
      <c r="N55" s="243" t="str">
        <f t="shared" si="3"/>
        <v/>
      </c>
      <c r="O55" s="244" t="str">
        <f t="shared" si="8"/>
        <v/>
      </c>
      <c r="P55" s="225"/>
    </row>
    <row r="56" spans="2:16" ht="26.25" customHeight="1" outlineLevel="1" x14ac:dyDescent="0.2">
      <c r="B56" s="186">
        <v>13</v>
      </c>
      <c r="C56" s="187">
        <f>RESUMEN!C27</f>
        <v>17</v>
      </c>
      <c r="D56" s="188" t="str">
        <f>VLOOKUP(C56,RESUMEN!$C$15:$D$35,2,0)</f>
        <v>CONSORCIO VIAS NACIONALES 007</v>
      </c>
      <c r="E56" s="189">
        <f>IF(ISTEXT('VR-PROP'!$AT$52),"DESCARTADO",'VR-PROP'!$AT$52)</f>
        <v>3616939580</v>
      </c>
      <c r="F56" s="190">
        <f t="shared" si="4"/>
        <v>3.6169395799999999</v>
      </c>
      <c r="G56" s="228">
        <f t="shared" si="5"/>
        <v>-5.974996949759781E-3</v>
      </c>
      <c r="H56" s="206">
        <f t="shared" si="6"/>
        <v>899.13055350293985</v>
      </c>
      <c r="I56" s="84">
        <f t="shared" si="0"/>
        <v>0.99402500305024022</v>
      </c>
      <c r="J56" s="85">
        <f t="shared" si="1"/>
        <v>1.0040298485162151</v>
      </c>
      <c r="K56" s="85">
        <f t="shared" si="2"/>
        <v>0.99903394833659986</v>
      </c>
      <c r="L56" s="85">
        <f t="shared" si="7"/>
        <v>1.0015299490162426</v>
      </c>
      <c r="M56" s="85" t="e">
        <f>IF(ISTEXT(E56),"",E56/#REF!)</f>
        <v>#REF!</v>
      </c>
      <c r="N56" s="243">
        <f t="shared" si="3"/>
        <v>1</v>
      </c>
      <c r="O56" s="244">
        <f t="shared" si="8"/>
        <v>41002109</v>
      </c>
      <c r="P56" s="225"/>
    </row>
    <row r="57" spans="2:16" ht="26.25" customHeight="1" outlineLevel="1" x14ac:dyDescent="0.2">
      <c r="B57" s="186">
        <v>14</v>
      </c>
      <c r="C57" s="187">
        <f>RESUMEN!C28</f>
        <v>18</v>
      </c>
      <c r="D57" s="188" t="str">
        <f>VLOOKUP(C57,RESUMEN!$C$15:$D$35,2,0)</f>
        <v>KMC SAS</v>
      </c>
      <c r="E57" s="189">
        <f>IF(ISTEXT('VR-PROP'!$AW$52),"DESCARTADO",'VR-PROP'!$AW$52)</f>
        <v>3575937471</v>
      </c>
      <c r="F57" s="190">
        <f t="shared" si="4"/>
        <v>3.575937471</v>
      </c>
      <c r="G57" s="228">
        <f t="shared" si="5"/>
        <v>-1.7243396828253599E-2</v>
      </c>
      <c r="H57" s="206">
        <f t="shared" si="6"/>
        <v>888.93788974825316</v>
      </c>
      <c r="I57" s="84">
        <f t="shared" si="0"/>
        <v>0.9827566031717464</v>
      </c>
      <c r="J57" s="85">
        <f t="shared" si="1"/>
        <v>0.99264803237647325</v>
      </c>
      <c r="K57" s="85">
        <f t="shared" si="2"/>
        <v>0.98770876638694793</v>
      </c>
      <c r="L57" s="85">
        <f t="shared" si="7"/>
        <v>0.99017647207031911</v>
      </c>
      <c r="M57" s="85" t="e">
        <f>IF(ISTEXT(E57),"",E57/#REF!)</f>
        <v>#REF!</v>
      </c>
      <c r="N57" s="243">
        <f t="shared" si="3"/>
        <v>1</v>
      </c>
      <c r="O57" s="244" t="e">
        <f t="shared" si="8"/>
        <v>#VALUE!</v>
      </c>
      <c r="P57" s="225"/>
    </row>
    <row r="58" spans="2:16" ht="26.25" customHeight="1" outlineLevel="1" x14ac:dyDescent="0.2">
      <c r="B58" s="186">
        <v>15</v>
      </c>
      <c r="C58" s="187">
        <f>RESUMEN!C29</f>
        <v>22</v>
      </c>
      <c r="D58" s="188" t="str">
        <f>VLOOKUP(C58,RESUMEN!$C$15:$D$35,2,0)</f>
        <v>CONSORCIO MANZANARES</v>
      </c>
      <c r="E58" s="189" t="str">
        <f>IF(ISTEXT('VR-PROP'!$AZ$52),"DESCARTADO",'VR-PROP'!$AZ$52)</f>
        <v>DESCARTADO</v>
      </c>
      <c r="F58" s="190" t="str">
        <f t="shared" si="4"/>
        <v/>
      </c>
      <c r="G58" s="228" t="str">
        <f t="shared" si="5"/>
        <v>DESCARTADO</v>
      </c>
      <c r="H58" s="206" t="str">
        <f t="shared" si="6"/>
        <v>DESCARTADO</v>
      </c>
      <c r="I58" s="84" t="str">
        <f t="shared" si="0"/>
        <v/>
      </c>
      <c r="J58" s="85" t="str">
        <f t="shared" si="1"/>
        <v/>
      </c>
      <c r="K58" s="85" t="str">
        <f t="shared" si="2"/>
        <v/>
      </c>
      <c r="L58" s="85" t="str">
        <f t="shared" si="7"/>
        <v/>
      </c>
      <c r="M58" s="85" t="str">
        <f>IF(ISTEXT(E58),"",E58/#REF!)</f>
        <v/>
      </c>
      <c r="N58" s="243" t="str">
        <f t="shared" si="3"/>
        <v/>
      </c>
      <c r="O58" s="244" t="str">
        <f t="shared" si="8"/>
        <v/>
      </c>
      <c r="P58" s="225"/>
    </row>
    <row r="59" spans="2:16" ht="26.25" customHeight="1" outlineLevel="1" x14ac:dyDescent="0.2">
      <c r="B59" s="186">
        <v>16</v>
      </c>
      <c r="C59" s="187">
        <f>RESUMEN!C30</f>
        <v>23</v>
      </c>
      <c r="D59" s="188" t="str">
        <f>VLOOKUP(C59,RESUMEN!$C$15:$D$35,2,0)</f>
        <v>DISCEP SAS</v>
      </c>
      <c r="E59" s="189">
        <f>IF(ISTEXT('VR-PROP'!$BC$52),"DESCARTADO",'VR-PROP'!$BC$52)</f>
        <v>3584100473</v>
      </c>
      <c r="F59" s="190">
        <f t="shared" si="4"/>
        <v>3.5841004729999999</v>
      </c>
      <c r="G59" s="228">
        <f t="shared" si="5"/>
        <v>-1.5000000744775477E-2</v>
      </c>
      <c r="H59" s="206">
        <f t="shared" si="6"/>
        <v>890.96712035721612</v>
      </c>
      <c r="I59" s="84">
        <f t="shared" si="0"/>
        <v>0.98499999925522452</v>
      </c>
      <c r="J59" s="85">
        <f t="shared" si="1"/>
        <v>0.99491400820499332</v>
      </c>
      <c r="K59" s="85">
        <f t="shared" si="2"/>
        <v>0.98996346706357341</v>
      </c>
      <c r="L59" s="85">
        <f t="shared" si="7"/>
        <v>0.9924368059233053</v>
      </c>
      <c r="M59" s="85" t="e">
        <f>IF(ISTEXT(E59),"",E59/#REF!)</f>
        <v>#REF!</v>
      </c>
      <c r="N59" s="243">
        <f t="shared" si="3"/>
        <v>1</v>
      </c>
      <c r="O59" s="244">
        <f t="shared" si="8"/>
        <v>25082341</v>
      </c>
      <c r="P59" s="225"/>
    </row>
    <row r="60" spans="2:16" ht="26.25" customHeight="1" outlineLevel="1" x14ac:dyDescent="0.2">
      <c r="B60" s="186">
        <v>17</v>
      </c>
      <c r="C60" s="187">
        <f>RESUMEN!C31</f>
        <v>24</v>
      </c>
      <c r="D60" s="188" t="str">
        <f>VLOOKUP(C60,RESUMEN!$C$15:$D$35,2,0)</f>
        <v>CONSORCIO OBRAS MI</v>
      </c>
      <c r="E60" s="189">
        <f>IF(ISTEXT('VR-PROP'!$BF$52),"DESCARTADO",'VR-PROP'!$BF$52)</f>
        <v>3609182814</v>
      </c>
      <c r="F60" s="190">
        <f t="shared" si="4"/>
        <v>3.609182814</v>
      </c>
      <c r="G60" s="228">
        <f t="shared" si="5"/>
        <v>-8.1067492713758904E-3</v>
      </c>
      <c r="H60" s="206">
        <f t="shared" si="6"/>
        <v>897.20230860066442</v>
      </c>
      <c r="I60" s="84">
        <f t="shared" si="0"/>
        <v>0.99189325072862411</v>
      </c>
      <c r="J60" s="85">
        <f t="shared" si="1"/>
        <v>1.0018766401422019</v>
      </c>
      <c r="K60" s="85">
        <f t="shared" si="2"/>
        <v>0.99689145400073831</v>
      </c>
      <c r="L60" s="85">
        <f t="shared" si="7"/>
        <v>0.99938210184194431</v>
      </c>
      <c r="M60" s="85" t="e">
        <f>IF(ISTEXT(E60),"",E60/#REF!)</f>
        <v>#REF!</v>
      </c>
      <c r="N60" s="243">
        <f t="shared" si="3"/>
        <v>1</v>
      </c>
      <c r="O60" s="244">
        <f t="shared" si="8"/>
        <v>24300372</v>
      </c>
      <c r="P60" s="225"/>
    </row>
    <row r="61" spans="2:16" ht="26.25" customHeight="1" outlineLevel="1" x14ac:dyDescent="0.2">
      <c r="B61" s="186">
        <v>18</v>
      </c>
      <c r="C61" s="187">
        <f>RESUMEN!C32</f>
        <v>25</v>
      </c>
      <c r="D61" s="188" t="str">
        <f>VLOOKUP(C61,RESUMEN!$C$15:$D$35,2,0)</f>
        <v>INGENIERIA DE PROYECTOS AML SAS</v>
      </c>
      <c r="E61" s="189">
        <f>IF(ISTEXT('VR-PROP'!$BI$52),"DESCARTADO",'VR-PROP'!$BI$52)</f>
        <v>3584882442</v>
      </c>
      <c r="F61" s="190">
        <f t="shared" si="4"/>
        <v>3.5848824420000001</v>
      </c>
      <c r="G61" s="228">
        <f t="shared" si="5"/>
        <v>-1.4785096204509296E-2</v>
      </c>
      <c r="H61" s="206">
        <f t="shared" si="6"/>
        <v>891.16150906740631</v>
      </c>
      <c r="I61" s="84"/>
      <c r="J61" s="85"/>
      <c r="K61" s="85"/>
      <c r="L61" s="85"/>
      <c r="M61" s="85"/>
      <c r="N61" s="243">
        <f t="shared" si="3"/>
        <v>1</v>
      </c>
      <c r="O61" s="244" t="e">
        <f t="shared" si="8"/>
        <v>#VALUE!</v>
      </c>
      <c r="P61" s="225"/>
    </row>
    <row r="62" spans="2:16" ht="26.25" customHeight="1" outlineLevel="1" x14ac:dyDescent="0.2">
      <c r="B62" s="186">
        <v>19</v>
      </c>
      <c r="C62" s="187">
        <f>RESUMEN!C33</f>
        <v>26</v>
      </c>
      <c r="D62" s="188" t="str">
        <f>VLOOKUP(C62,RESUMEN!$C$15:$D$35,2,0)</f>
        <v>CONSORCIO VIAL PUTUMAYO</v>
      </c>
      <c r="E62" s="189" t="str">
        <f>IF(ISTEXT('VR-PROP'!$BL$52),"DESCARTADO",'VR-PROP'!$BL$52)</f>
        <v>DESCARTADO</v>
      </c>
      <c r="F62" s="190" t="str">
        <f t="shared" si="4"/>
        <v/>
      </c>
      <c r="G62" s="228" t="str">
        <f t="shared" si="5"/>
        <v>DESCARTADO</v>
      </c>
      <c r="H62" s="206" t="str">
        <f t="shared" si="6"/>
        <v>DESCARTADO</v>
      </c>
      <c r="I62" s="84"/>
      <c r="J62" s="85"/>
      <c r="K62" s="85"/>
      <c r="L62" s="85"/>
      <c r="M62" s="85"/>
      <c r="N62" s="243" t="str">
        <f t="shared" si="3"/>
        <v/>
      </c>
      <c r="O62" s="244" t="str">
        <f t="shared" si="8"/>
        <v/>
      </c>
      <c r="P62" s="225"/>
    </row>
    <row r="63" spans="2:16" ht="26.25" customHeight="1" outlineLevel="1" x14ac:dyDescent="0.2">
      <c r="B63" s="186">
        <v>20</v>
      </c>
      <c r="C63" s="187">
        <f>RESUMEN!C34</f>
        <v>27</v>
      </c>
      <c r="D63" s="188" t="str">
        <f>VLOOKUP(C63,RESUMEN!$C$15:$D$35,2,0)</f>
        <v>UNION TEMPORAL PAVIMENTOS ARIZONA</v>
      </c>
      <c r="E63" s="189">
        <f>IF(ISTEXT('VR-PROP'!$BO$52),"DESCARTADO",'VR-PROP'!$BO$52)</f>
        <v>3629736406</v>
      </c>
      <c r="F63" s="190">
        <f t="shared" si="4"/>
        <v>3.6297364060000001</v>
      </c>
      <c r="G63" s="228">
        <f t="shared" si="5"/>
        <v>-2.458110719748885E-3</v>
      </c>
      <c r="H63" s="206">
        <f t="shared" si="6"/>
        <v>895.3765985792046</v>
      </c>
      <c r="I63" s="84"/>
      <c r="J63" s="85"/>
      <c r="K63" s="85"/>
      <c r="L63" s="85"/>
      <c r="M63" s="85"/>
      <c r="N63" s="243">
        <f t="shared" si="3"/>
        <v>1</v>
      </c>
      <c r="O63" s="244">
        <f t="shared" si="8"/>
        <v>49737061</v>
      </c>
      <c r="P63" s="225"/>
    </row>
    <row r="64" spans="2:16" ht="26.25" customHeight="1" outlineLevel="1" x14ac:dyDescent="0.2">
      <c r="B64" s="186">
        <v>21</v>
      </c>
      <c r="C64" s="187">
        <f>RESUMEN!C35</f>
        <v>28</v>
      </c>
      <c r="D64" s="188" t="str">
        <f>VLOOKUP(C64,RESUMEN!$C$15:$D$35,2,0)</f>
        <v>OBRAS CIVILES Y EQUIPOS SAS – OCIEQUIPOS SAS</v>
      </c>
      <c r="E64" s="189">
        <f>IF(ISTEXT('VR-PROP'!$BR$52),"DESCARTADO",'VR-PROP'!$BR$52)</f>
        <v>3579999345</v>
      </c>
      <c r="F64" s="190">
        <f t="shared" si="4"/>
        <v>3.5799993450000001</v>
      </c>
      <c r="G64" s="228">
        <f t="shared" si="5"/>
        <v>-1.6127092774526619E-2</v>
      </c>
      <c r="H64" s="206">
        <f t="shared" si="6"/>
        <v>889.94762600098841</v>
      </c>
      <c r="I64" s="84"/>
      <c r="J64" s="85"/>
      <c r="K64" s="85"/>
      <c r="L64" s="85"/>
      <c r="M64" s="85"/>
      <c r="N64" s="243">
        <f t="shared" si="3"/>
        <v>1</v>
      </c>
      <c r="O64" s="244" t="e">
        <f>IF(E64="DESCARTADO","",ABS(E64-#REF!))</f>
        <v>#REF!</v>
      </c>
      <c r="P64" s="225"/>
    </row>
    <row r="65" spans="2:16" customFormat="1" ht="13.5" outlineLevel="1" thickBot="1" x14ac:dyDescent="0.25">
      <c r="N65" s="219"/>
      <c r="O65" s="202"/>
      <c r="P65" s="200"/>
    </row>
    <row r="66" spans="2:16" customFormat="1" ht="15" x14ac:dyDescent="0.2">
      <c r="B66" s="399" t="s">
        <v>65</v>
      </c>
      <c r="C66" s="400"/>
      <c r="D66" s="400"/>
      <c r="E66" s="400"/>
      <c r="F66" s="400"/>
      <c r="G66" s="400"/>
      <c r="H66" s="401"/>
      <c r="O66" s="202"/>
      <c r="P66" s="200"/>
    </row>
    <row r="67" spans="2:16" customFormat="1" x14ac:dyDescent="0.2">
      <c r="B67" s="421" t="s">
        <v>66</v>
      </c>
      <c r="C67" s="422"/>
      <c r="D67" s="422"/>
      <c r="E67" s="422"/>
      <c r="F67" s="422"/>
      <c r="G67" s="422"/>
      <c r="H67" s="304" t="s">
        <v>67</v>
      </c>
      <c r="O67" s="200"/>
      <c r="P67" s="200"/>
    </row>
    <row r="68" spans="2:16" customFormat="1" x14ac:dyDescent="0.2">
      <c r="B68" s="406" t="s">
        <v>68</v>
      </c>
      <c r="C68" s="407"/>
      <c r="D68" s="407"/>
      <c r="E68" s="407"/>
      <c r="F68" s="407"/>
      <c r="G68" s="407"/>
      <c r="H68" s="112">
        <f>COUNTIF(H44:H64,"DESCARTADO")</f>
        <v>9</v>
      </c>
      <c r="L68" s="43"/>
      <c r="M68" s="43"/>
      <c r="O68" s="200"/>
      <c r="P68" s="200"/>
    </row>
    <row r="69" spans="2:16" ht="13.15" customHeight="1" x14ac:dyDescent="0.2">
      <c r="B69" s="406" t="s">
        <v>70</v>
      </c>
      <c r="C69" s="407"/>
      <c r="D69" s="407"/>
      <c r="E69" s="407"/>
      <c r="F69" s="407"/>
      <c r="G69" s="407"/>
      <c r="H69" s="113">
        <f>COUNTIF(E44:E64,"&lt;="&amp;H38)</f>
        <v>10</v>
      </c>
      <c r="I69"/>
      <c r="J69"/>
      <c r="K69"/>
    </row>
    <row r="70" spans="2:16" ht="13.15" customHeight="1" x14ac:dyDescent="0.2">
      <c r="B70" s="406" t="s">
        <v>69</v>
      </c>
      <c r="C70" s="407"/>
      <c r="D70" s="407"/>
      <c r="E70" s="407"/>
      <c r="F70" s="407"/>
      <c r="G70" s="407"/>
      <c r="H70" s="113">
        <f>COUNTIF(E44:E64,"&gt;"&amp;H38)</f>
        <v>2</v>
      </c>
      <c r="I70"/>
      <c r="J70"/>
      <c r="K70"/>
    </row>
    <row r="71" spans="2:16" ht="13.15" customHeight="1" x14ac:dyDescent="0.2">
      <c r="B71" s="406" t="s">
        <v>71</v>
      </c>
      <c r="C71" s="407"/>
      <c r="D71" s="407"/>
      <c r="E71" s="407"/>
      <c r="F71" s="407"/>
      <c r="G71" s="407"/>
      <c r="H71" s="114">
        <f>DMIN(G42:H64,1,G75:H76)</f>
        <v>-5.974996949759781E-3</v>
      </c>
      <c r="I71"/>
      <c r="J71"/>
      <c r="K71"/>
      <c r="L71"/>
      <c r="M71"/>
      <c r="N71"/>
    </row>
    <row r="72" spans="2:16" ht="13.9" customHeight="1" x14ac:dyDescent="0.2">
      <c r="B72" s="406" t="s">
        <v>73</v>
      </c>
      <c r="C72" s="407"/>
      <c r="D72" s="407"/>
      <c r="E72" s="407"/>
      <c r="F72" s="407"/>
      <c r="G72" s="407"/>
      <c r="H72" s="118">
        <f>IF(H18=0,"",DGET(C42:H64,1,H75:H76))</f>
        <v>17</v>
      </c>
      <c r="I72"/>
      <c r="J72"/>
      <c r="K72"/>
      <c r="L72"/>
      <c r="M72"/>
      <c r="N72"/>
    </row>
    <row r="73" spans="2:16" s="42" customFormat="1" ht="26.25" thickBot="1" x14ac:dyDescent="0.25">
      <c r="B73" s="404" t="s">
        <v>72</v>
      </c>
      <c r="C73" s="405"/>
      <c r="D73" s="405"/>
      <c r="E73" s="405"/>
      <c r="F73" s="405"/>
      <c r="G73" s="405"/>
      <c r="H73" s="115" t="str">
        <f>IF(H18=0,"",DGET(C42:M64,2,H75:H76))</f>
        <v>CONSORCIO VIAS NACIONALES 007</v>
      </c>
      <c r="I73" s="158"/>
      <c r="J73" s="158"/>
      <c r="K73" s="158"/>
      <c r="L73" s="158"/>
      <c r="M73" s="158"/>
      <c r="N73" s="158"/>
      <c r="O73" s="201"/>
      <c r="P73" s="201"/>
    </row>
    <row r="74" spans="2:16" ht="13.5" customHeight="1" x14ac:dyDescent="0.2">
      <c r="B74"/>
      <c r="C74"/>
      <c r="D74"/>
      <c r="E74"/>
      <c r="F74"/>
      <c r="H74" s="43"/>
      <c r="I74" s="43"/>
      <c r="J74"/>
      <c r="K74"/>
      <c r="L74"/>
      <c r="M74"/>
      <c r="N74"/>
    </row>
    <row r="75" spans="2:16" ht="22.5" hidden="1" x14ac:dyDescent="0.2">
      <c r="B75"/>
      <c r="C75"/>
      <c r="D75"/>
      <c r="E75"/>
      <c r="F75"/>
      <c r="G75" s="116" t="s">
        <v>27</v>
      </c>
      <c r="H75" s="116" t="s">
        <v>5</v>
      </c>
      <c r="I75" s="43"/>
      <c r="J75"/>
      <c r="K75"/>
      <c r="L75"/>
      <c r="M75"/>
      <c r="N75"/>
    </row>
    <row r="76" spans="2:16" ht="13.5" hidden="1" customHeight="1" thickBot="1" x14ac:dyDescent="0.25">
      <c r="B76"/>
      <c r="C76"/>
      <c r="D76"/>
      <c r="E76"/>
      <c r="F76"/>
      <c r="G76" s="47" t="s">
        <v>15</v>
      </c>
      <c r="H76" s="117">
        <f>MAX(H44:H64)</f>
        <v>899.13055350293985</v>
      </c>
      <c r="I76" s="43"/>
      <c r="J76"/>
      <c r="K76"/>
      <c r="L76"/>
      <c r="M76"/>
      <c r="N76"/>
    </row>
    <row r="77" spans="2:16" x14ac:dyDescent="0.2">
      <c r="B77"/>
      <c r="C77"/>
      <c r="D77"/>
      <c r="E77"/>
      <c r="F77"/>
      <c r="H77" s="43"/>
      <c r="I77" s="43"/>
      <c r="J77"/>
      <c r="K77"/>
      <c r="L77"/>
      <c r="M77"/>
      <c r="N77"/>
    </row>
    <row r="78" spans="2:16" ht="13.5" customHeight="1" x14ac:dyDescent="0.2">
      <c r="B78"/>
      <c r="C78"/>
      <c r="D78"/>
      <c r="E78"/>
      <c r="F78"/>
      <c r="H78" s="43"/>
      <c r="I78" s="43"/>
      <c r="J78"/>
      <c r="K78"/>
      <c r="L78"/>
      <c r="M78"/>
      <c r="N78"/>
    </row>
    <row r="79" spans="2:16" ht="13.5" customHeight="1" x14ac:dyDescent="0.2">
      <c r="B79"/>
      <c r="C79"/>
      <c r="D79"/>
      <c r="E79"/>
      <c r="F79"/>
      <c r="H79" s="43"/>
      <c r="I79" s="43"/>
      <c r="J79"/>
      <c r="K79"/>
      <c r="L79"/>
      <c r="M79"/>
      <c r="N79"/>
    </row>
    <row r="80" spans="2:16" ht="13.5" customHeight="1" x14ac:dyDescent="0.2">
      <c r="B80"/>
      <c r="C80"/>
      <c r="D80"/>
      <c r="E80"/>
      <c r="F80"/>
      <c r="H80" s="43"/>
      <c r="I80" s="43"/>
      <c r="J80"/>
      <c r="K80"/>
      <c r="L80"/>
      <c r="M80"/>
      <c r="N80"/>
    </row>
    <row r="81" spans="2:38" ht="16.5" customHeight="1" x14ac:dyDescent="0.2">
      <c r="B81"/>
      <c r="C81"/>
      <c r="D81"/>
      <c r="E81"/>
      <c r="F81"/>
      <c r="H81" s="43"/>
      <c r="I81" s="43"/>
      <c r="J81"/>
      <c r="K81"/>
      <c r="L81"/>
      <c r="M81"/>
      <c r="N81"/>
    </row>
    <row r="82" spans="2:38" s="221" customFormat="1" x14ac:dyDescent="0.2">
      <c r="B82" s="220"/>
      <c r="C82" s="220"/>
      <c r="J82" s="222"/>
      <c r="K82" s="220"/>
      <c r="L82" s="220"/>
      <c r="M82" s="220"/>
      <c r="N82" s="220"/>
      <c r="O82" s="223"/>
      <c r="P82" s="223"/>
      <c r="Q82" s="224">
        <v>246500889410</v>
      </c>
      <c r="R82" s="224">
        <v>242851543086</v>
      </c>
      <c r="S82" s="224">
        <v>255815367666</v>
      </c>
      <c r="T82" s="224">
        <v>229461585210</v>
      </c>
      <c r="U82" s="224">
        <v>251294023456</v>
      </c>
      <c r="V82" s="224">
        <v>256143018798</v>
      </c>
      <c r="W82" s="224">
        <v>254559622968</v>
      </c>
      <c r="X82" s="224">
        <v>259137028741</v>
      </c>
      <c r="Y82" s="224">
        <v>248849829575</v>
      </c>
      <c r="Z82" s="224">
        <v>246405951109</v>
      </c>
      <c r="AA82" s="224">
        <v>241537467742</v>
      </c>
      <c r="AB82" s="224">
        <v>248820873611</v>
      </c>
      <c r="AC82" s="224">
        <v>236679277932</v>
      </c>
      <c r="AD82" s="224">
        <v>231590047547</v>
      </c>
      <c r="AE82" s="224">
        <v>227321068593</v>
      </c>
      <c r="AF82" s="224">
        <v>249585224523</v>
      </c>
      <c r="AG82" s="224">
        <v>259120341261</v>
      </c>
      <c r="AH82" s="224">
        <v>250076291918</v>
      </c>
      <c r="AI82" s="224">
        <v>260048521564</v>
      </c>
      <c r="AJ82" s="224">
        <v>239541109341</v>
      </c>
      <c r="AK82" s="224">
        <v>250814634168</v>
      </c>
      <c r="AL82" s="224">
        <v>242211742393</v>
      </c>
    </row>
    <row r="83" spans="2:38" x14ac:dyDescent="0.2">
      <c r="K83"/>
      <c r="L83"/>
      <c r="M83"/>
      <c r="N83"/>
    </row>
    <row r="84" spans="2:38" x14ac:dyDescent="0.2">
      <c r="G84" s="46"/>
      <c r="K84"/>
      <c r="L84"/>
      <c r="M84"/>
      <c r="N84"/>
    </row>
    <row r="85" spans="2:38" x14ac:dyDescent="0.2">
      <c r="K85"/>
      <c r="L85"/>
      <c r="M85"/>
      <c r="N85"/>
    </row>
    <row r="86" spans="2:38" x14ac:dyDescent="0.2">
      <c r="K86"/>
      <c r="L86"/>
      <c r="M86"/>
      <c r="N86"/>
    </row>
    <row r="87" spans="2:38" x14ac:dyDescent="0.2">
      <c r="K87"/>
      <c r="L87"/>
      <c r="M87"/>
      <c r="N87"/>
    </row>
    <row r="88" spans="2:38" x14ac:dyDescent="0.2">
      <c r="K88"/>
      <c r="L88"/>
      <c r="M88"/>
      <c r="N88"/>
    </row>
    <row r="89" spans="2:38" x14ac:dyDescent="0.2">
      <c r="K89"/>
      <c r="L89"/>
      <c r="M89"/>
      <c r="N89"/>
    </row>
    <row r="90" spans="2:38" x14ac:dyDescent="0.2">
      <c r="K90"/>
      <c r="L90"/>
      <c r="M90"/>
      <c r="N90"/>
    </row>
    <row r="91" spans="2:38" x14ac:dyDescent="0.2">
      <c r="K91"/>
      <c r="L91"/>
      <c r="M91"/>
      <c r="N91"/>
    </row>
    <row r="92" spans="2:38" x14ac:dyDescent="0.2">
      <c r="K92"/>
      <c r="L92"/>
      <c r="M92"/>
      <c r="N92"/>
    </row>
    <row r="93" spans="2:38" x14ac:dyDescent="0.2">
      <c r="K93"/>
      <c r="L93"/>
      <c r="M93"/>
      <c r="N93"/>
    </row>
    <row r="94" spans="2:38" x14ac:dyDescent="0.2">
      <c r="K94"/>
      <c r="L94"/>
      <c r="M94"/>
      <c r="N94"/>
    </row>
  </sheetData>
  <sheetProtection selectLockedCells="1"/>
  <dataConsolidate/>
  <mergeCells count="39">
    <mergeCell ref="B69:G69"/>
    <mergeCell ref="B70:G70"/>
    <mergeCell ref="B42:B43"/>
    <mergeCell ref="C42:C43"/>
    <mergeCell ref="D42:D43"/>
    <mergeCell ref="B73:G73"/>
    <mergeCell ref="B72:G72"/>
    <mergeCell ref="B12:H12"/>
    <mergeCell ref="B28:G28"/>
    <mergeCell ref="B30:G30"/>
    <mergeCell ref="B17:H17"/>
    <mergeCell ref="B38:D38"/>
    <mergeCell ref="B32:G32"/>
    <mergeCell ref="B33:G33"/>
    <mergeCell ref="B34:G34"/>
    <mergeCell ref="B35:G35"/>
    <mergeCell ref="E15:H15"/>
    <mergeCell ref="B66:H66"/>
    <mergeCell ref="B71:G71"/>
    <mergeCell ref="B67:G67"/>
    <mergeCell ref="B68:G68"/>
    <mergeCell ref="M42:M43"/>
    <mergeCell ref="B27:H27"/>
    <mergeCell ref="B29:H29"/>
    <mergeCell ref="B31:H31"/>
    <mergeCell ref="E38:G38"/>
    <mergeCell ref="L42:L43"/>
    <mergeCell ref="K42:K43"/>
    <mergeCell ref="B41:H41"/>
    <mergeCell ref="I42:I43"/>
    <mergeCell ref="J42:J43"/>
    <mergeCell ref="B7:H7"/>
    <mergeCell ref="B9:H9"/>
    <mergeCell ref="B10:H10"/>
    <mergeCell ref="B1:H1"/>
    <mergeCell ref="B2:H2"/>
    <mergeCell ref="B3:H3"/>
    <mergeCell ref="B4:H4"/>
    <mergeCell ref="B5:H5"/>
  </mergeCells>
  <conditionalFormatting sqref="B44:H64">
    <cfRule type="expression" dxfId="8" priority="14" stopIfTrue="1">
      <formula>MOD(ROW(),2)</formula>
    </cfRule>
  </conditionalFormatting>
  <conditionalFormatting sqref="E44:F64">
    <cfRule type="cellIs" dxfId="7" priority="13" stopIfTrue="1" operator="equal">
      <formula>"NO ADMISIBLE"</formula>
    </cfRule>
  </conditionalFormatting>
  <conditionalFormatting sqref="E44:F64">
    <cfRule type="cellIs" dxfId="6" priority="12" stopIfTrue="1" operator="equal">
      <formula>"DESCARTADO"</formula>
    </cfRule>
  </conditionalFormatting>
  <dataValidations count="1">
    <dataValidation type="list" allowBlank="1" showInputMessage="1" showErrorMessage="1" sqref="O16">
      <formula1>METEVA</formula1>
    </dataValidation>
  </dataValidations>
  <printOptions horizontalCentered="1"/>
  <pageMargins left="0.23622047244094491" right="0.23622047244094491" top="0.74803149606299213" bottom="0.74803149606299213" header="0.31496062992125984" footer="0.31496062992125984"/>
  <pageSetup scale="85" fitToHeight="0" orientation="portrait" horizontalDpi="1200" verticalDpi="1200" r:id="rId1"/>
  <headerFooter alignWithMargins="0">
    <oddFooter>&amp;L&amp;9&amp;F&amp;A&amp;C&amp;P de &amp;N&amp;R&amp;9INSTITUTO NACIONAL DE VIAS&amp;D</oddFooter>
  </headerFooter>
  <rowBreaks count="1" manualBreakCount="1">
    <brk id="38" min="1" max="6" man="1"/>
  </rowBreaks>
  <ignoredErrors>
    <ignoredError sqref="H19:H20 H22:H2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2" tint="-0.749992370372631"/>
  </sheetPr>
  <dimension ref="B1:W40"/>
  <sheetViews>
    <sheetView showGridLines="0" tabSelected="1" topLeftCell="A13" zoomScale="110" zoomScaleNormal="110" zoomScaleSheetLayoutView="100" workbookViewId="0">
      <selection activeCell="K36" sqref="K36"/>
    </sheetView>
  </sheetViews>
  <sheetFormatPr baseColWidth="10" defaultColWidth="11.42578125" defaultRowHeight="12.75" x14ac:dyDescent="0.2"/>
  <cols>
    <col min="1" max="1" width="2.7109375" style="2" customWidth="1"/>
    <col min="2" max="2" width="10.28515625" style="2" bestFit="1" customWidth="1"/>
    <col min="3" max="3" width="10.28515625" style="2" customWidth="1"/>
    <col min="4" max="4" width="37.85546875" style="2" bestFit="1" customWidth="1"/>
    <col min="5" max="5" width="17.42578125" style="2" bestFit="1" customWidth="1"/>
    <col min="6" max="6" width="16" style="2" customWidth="1"/>
    <col min="7" max="7" width="13.28515625" style="2" customWidth="1"/>
    <col min="8" max="8" width="13.28515625" style="2" hidden="1" customWidth="1"/>
    <col min="9" max="9" width="13.28515625" style="2" customWidth="1"/>
    <col min="10" max="10" width="16.28515625" style="2" hidden="1" customWidth="1"/>
    <col min="11" max="11" width="12.85546875" style="2" customWidth="1"/>
    <col min="12" max="12" width="11.42578125" style="2" hidden="1" customWidth="1"/>
    <col min="13" max="13" width="4.7109375" style="2" hidden="1" customWidth="1"/>
    <col min="14" max="14" width="4.7109375" style="2" customWidth="1"/>
    <col min="15" max="15" width="16" style="3" hidden="1" customWidth="1"/>
    <col min="16" max="16" width="9.28515625" style="3" bestFit="1" customWidth="1"/>
    <col min="17" max="17" width="71.5703125" style="2" customWidth="1"/>
    <col min="18" max="18" width="20" style="2" customWidth="1"/>
    <col min="19" max="19" width="20.140625" style="2" bestFit="1" customWidth="1"/>
    <col min="20" max="20" width="5.28515625" style="2" customWidth="1"/>
    <col min="21" max="21" width="11.42578125" style="242" customWidth="1"/>
    <col min="22" max="23" width="11.42578125" style="242"/>
    <col min="24" max="16384" width="11.42578125" style="2"/>
  </cols>
  <sheetData>
    <row r="1" spans="2:19" ht="18" x14ac:dyDescent="0.2">
      <c r="B1" s="329" t="str">
        <f>RESUMEN!B1</f>
        <v>FIDUPREVISORA</v>
      </c>
      <c r="C1" s="329"/>
      <c r="D1" s="329"/>
      <c r="E1" s="329"/>
      <c r="F1" s="329"/>
      <c r="G1" s="329"/>
      <c r="H1" s="329"/>
      <c r="I1" s="329"/>
      <c r="J1" s="329"/>
      <c r="K1" s="329"/>
      <c r="L1" s="1"/>
      <c r="P1" s="329" t="str">
        <f>B1</f>
        <v>FIDUPREVISORA</v>
      </c>
      <c r="Q1" s="329"/>
      <c r="R1" s="329"/>
      <c r="S1" s="329"/>
    </row>
    <row r="2" spans="2:19" ht="15.75" x14ac:dyDescent="0.2">
      <c r="B2" s="330"/>
      <c r="C2" s="330"/>
      <c r="D2" s="330"/>
      <c r="E2" s="330"/>
      <c r="F2" s="330"/>
      <c r="G2" s="330"/>
      <c r="H2" s="330"/>
      <c r="I2" s="330"/>
      <c r="J2" s="330"/>
      <c r="K2" s="330"/>
      <c r="L2" s="4"/>
      <c r="P2" s="330">
        <f>B2</f>
        <v>0</v>
      </c>
      <c r="Q2" s="330"/>
      <c r="R2" s="330"/>
      <c r="S2" s="330"/>
    </row>
    <row r="3" spans="2:19" x14ac:dyDescent="0.2">
      <c r="B3" s="330" t="str">
        <f>RESUMEN!B3</f>
        <v>PATRIMONIO AUTÓNOMO FIDEICOMISO ECOPETROL ZOMAC (en adelante PATRIMONIO AUTÓNOMO) FIDUCIARIA LA PREVISORA S.A.</v>
      </c>
      <c r="C3" s="330"/>
      <c r="D3" s="330"/>
      <c r="E3" s="330"/>
      <c r="F3" s="330"/>
      <c r="G3" s="330"/>
      <c r="H3" s="330"/>
      <c r="I3" s="330"/>
      <c r="J3" s="330"/>
      <c r="K3" s="330"/>
      <c r="L3" s="5"/>
      <c r="P3" s="330" t="str">
        <f>B3</f>
        <v>PATRIMONIO AUTÓNOMO FIDEICOMISO ECOPETROL ZOMAC (en adelante PATRIMONIO AUTÓNOMO) FIDUCIARIA LA PREVISORA S.A.</v>
      </c>
      <c r="Q3" s="330"/>
      <c r="R3" s="330"/>
      <c r="S3" s="330"/>
    </row>
    <row r="4" spans="2:19" x14ac:dyDescent="0.2">
      <c r="B4" s="330"/>
      <c r="C4" s="330"/>
      <c r="D4" s="330"/>
      <c r="E4" s="330"/>
      <c r="F4" s="330"/>
      <c r="G4" s="330"/>
      <c r="H4" s="330"/>
      <c r="I4" s="330"/>
      <c r="J4" s="330"/>
      <c r="K4" s="330"/>
      <c r="L4" s="5"/>
      <c r="P4" s="330">
        <f>B4</f>
        <v>0</v>
      </c>
      <c r="Q4" s="330"/>
      <c r="R4" s="330"/>
      <c r="S4" s="330"/>
    </row>
    <row r="5" spans="2:19" x14ac:dyDescent="0.2">
      <c r="B5" s="330" t="str">
        <f>RESUMEN!B5</f>
        <v>LICITACIÓN PRIVADA ABIERTA N° 007 DE 2018</v>
      </c>
      <c r="C5" s="330"/>
      <c r="D5" s="330"/>
      <c r="E5" s="330"/>
      <c r="F5" s="330"/>
      <c r="G5" s="330"/>
      <c r="H5" s="330"/>
      <c r="I5" s="330"/>
      <c r="J5" s="330"/>
      <c r="K5" s="330"/>
      <c r="L5" s="5"/>
      <c r="P5" s="330" t="str">
        <f>B5</f>
        <v>LICITACIÓN PRIVADA ABIERTA N° 007 DE 2018</v>
      </c>
      <c r="Q5" s="330"/>
      <c r="R5" s="330"/>
      <c r="S5" s="330"/>
    </row>
    <row r="6" spans="2:19" x14ac:dyDescent="0.2">
      <c r="B6" s="49"/>
      <c r="C6" s="49"/>
      <c r="D6" s="5"/>
      <c r="E6" s="5"/>
      <c r="F6" s="5"/>
      <c r="G6" s="5"/>
      <c r="H6" s="5"/>
      <c r="I6" s="5"/>
      <c r="J6" s="5"/>
      <c r="K6" s="5"/>
      <c r="L6" s="5"/>
      <c r="P6" s="49"/>
      <c r="Q6" s="5"/>
      <c r="R6" s="5"/>
      <c r="S6" s="5"/>
    </row>
    <row r="7" spans="2:19" ht="39.75" customHeight="1" x14ac:dyDescent="0.2">
      <c r="B7" s="330" t="str">
        <f>RESUMEN!B7</f>
        <v>PROYECTO No. 2: MEJORAMIENTO MEDIANTE CONSTRUCCIÓN DE PLACA HUELLA DE VÍAS TERCIARIAS DEL MUNICIPIO DE LA GLORIA, DEPARTAMENTO DEL CESAR VINCULADOS AL CONTRIBUYENTE ECOPETROL S.A. DENTRO DEL MARCO DEL MECANISMO DE OBRAS POR IMPUESTOS</v>
      </c>
      <c r="C7" s="330"/>
      <c r="D7" s="330"/>
      <c r="E7" s="330"/>
      <c r="F7" s="330"/>
      <c r="G7" s="330"/>
      <c r="H7" s="330"/>
      <c r="I7" s="330"/>
      <c r="J7" s="330"/>
      <c r="K7" s="330"/>
      <c r="L7" s="6"/>
      <c r="P7" s="330" t="str">
        <f>B7</f>
        <v>PROYECTO No. 2: MEJORAMIENTO MEDIANTE CONSTRUCCIÓN DE PLACA HUELLA DE VÍAS TERCIARIAS DEL MUNICIPIO DE LA GLORIA, DEPARTAMENTO DEL CESAR VINCULADOS AL CONTRIBUYENTE ECOPETROL S.A. DENTRO DEL MARCO DEL MECANISMO DE OBRAS POR IMPUESTOS</v>
      </c>
      <c r="Q7" s="330"/>
      <c r="R7" s="330"/>
      <c r="S7" s="330"/>
    </row>
    <row r="8" spans="2:19" x14ac:dyDescent="0.2">
      <c r="B8" s="49" t="str">
        <f>IF(RESUMEN!B8="","",RESUMEN!B8)</f>
        <v/>
      </c>
      <c r="C8" s="49"/>
      <c r="D8" s="6"/>
      <c r="E8" s="6"/>
      <c r="F8" s="6"/>
      <c r="G8" s="6"/>
      <c r="H8" s="6"/>
      <c r="I8" s="6"/>
      <c r="J8" s="6"/>
      <c r="K8" s="6"/>
      <c r="L8" s="6"/>
      <c r="P8" s="49" t="str">
        <f>B8</f>
        <v/>
      </c>
      <c r="Q8" s="5"/>
      <c r="R8" s="5"/>
      <c r="S8" s="5"/>
    </row>
    <row r="9" spans="2:19" x14ac:dyDescent="0.2">
      <c r="B9" s="347" t="s">
        <v>29</v>
      </c>
      <c r="C9" s="347"/>
      <c r="D9" s="347"/>
      <c r="E9" s="347"/>
      <c r="F9" s="347"/>
      <c r="G9" s="347"/>
      <c r="H9" s="347"/>
      <c r="I9" s="347"/>
      <c r="J9" s="347"/>
      <c r="K9" s="347"/>
      <c r="L9" s="7"/>
      <c r="P9" s="49"/>
      <c r="Q9" s="5"/>
      <c r="R9" s="5"/>
      <c r="S9" s="5"/>
    </row>
    <row r="10" spans="2:19" x14ac:dyDescent="0.2">
      <c r="B10" s="330" t="s">
        <v>31</v>
      </c>
      <c r="C10" s="330"/>
      <c r="D10" s="330"/>
      <c r="E10" s="330"/>
      <c r="F10" s="330"/>
      <c r="G10" s="330"/>
      <c r="H10" s="330"/>
      <c r="I10" s="330"/>
      <c r="J10" s="330"/>
      <c r="K10" s="330"/>
      <c r="L10" s="7"/>
      <c r="P10" s="330" t="s">
        <v>35</v>
      </c>
      <c r="Q10" s="330"/>
      <c r="R10" s="330"/>
      <c r="S10" s="330"/>
    </row>
    <row r="11" spans="2:19" ht="13.5" thickBot="1" x14ac:dyDescent="0.25">
      <c r="B11" s="124"/>
      <c r="C11" s="124"/>
      <c r="D11" s="124"/>
      <c r="E11" s="124"/>
      <c r="F11" s="124"/>
      <c r="G11" s="125"/>
      <c r="H11" s="124"/>
      <c r="I11" s="124"/>
      <c r="J11" s="124"/>
      <c r="K11" s="124" t="s">
        <v>4</v>
      </c>
      <c r="L11" s="124"/>
      <c r="O11" s="437" t="s">
        <v>10</v>
      </c>
    </row>
    <row r="12" spans="2:19" ht="24.75" customHeight="1" thickTop="1" x14ac:dyDescent="0.2">
      <c r="B12" s="432" t="s">
        <v>37</v>
      </c>
      <c r="C12" s="429" t="s">
        <v>30</v>
      </c>
      <c r="D12" s="429" t="s">
        <v>6</v>
      </c>
      <c r="E12" s="429" t="s">
        <v>119</v>
      </c>
      <c r="F12" s="449" t="s">
        <v>27</v>
      </c>
      <c r="G12" s="446" t="s">
        <v>18</v>
      </c>
      <c r="H12" s="446"/>
      <c r="I12" s="446"/>
      <c r="J12" s="446"/>
      <c r="K12" s="447" t="s">
        <v>33</v>
      </c>
      <c r="L12" s="429" t="s">
        <v>34</v>
      </c>
      <c r="O12" s="437"/>
      <c r="P12" s="438" t="s">
        <v>36</v>
      </c>
      <c r="Q12" s="439"/>
      <c r="R12" s="440"/>
      <c r="S12" s="441"/>
    </row>
    <row r="13" spans="2:19" ht="52.5" customHeight="1" x14ac:dyDescent="0.2">
      <c r="B13" s="433"/>
      <c r="C13" s="430"/>
      <c r="D13" s="430"/>
      <c r="E13" s="430"/>
      <c r="F13" s="450"/>
      <c r="G13" s="309" t="s">
        <v>32</v>
      </c>
      <c r="H13" s="310"/>
      <c r="I13" s="309" t="s">
        <v>74</v>
      </c>
      <c r="J13" s="309"/>
      <c r="K13" s="448"/>
      <c r="L13" s="430"/>
      <c r="O13" s="437"/>
      <c r="P13" s="442">
        <f ca="1">VLOOKUP(Q16,D16:E36,2,FALSE)</f>
        <v>3616939580</v>
      </c>
      <c r="Q13" s="443"/>
      <c r="R13" s="444"/>
      <c r="S13" s="445"/>
    </row>
    <row r="14" spans="2:19" ht="15" x14ac:dyDescent="0.25">
      <c r="B14" s="434"/>
      <c r="C14" s="431"/>
      <c r="D14" s="431"/>
      <c r="E14" s="311" t="s">
        <v>26</v>
      </c>
      <c r="F14" s="312" t="s">
        <v>14</v>
      </c>
      <c r="G14" s="313">
        <v>900</v>
      </c>
      <c r="H14" s="313"/>
      <c r="I14" s="313">
        <v>100</v>
      </c>
      <c r="J14" s="314"/>
      <c r="K14" s="315">
        <f>SUM(G14:J14)</f>
        <v>1000</v>
      </c>
      <c r="L14" s="431"/>
      <c r="O14" s="437"/>
      <c r="P14" s="305" t="s">
        <v>83</v>
      </c>
      <c r="Q14" s="306" t="s">
        <v>6</v>
      </c>
      <c r="R14" s="307" t="s">
        <v>82</v>
      </c>
      <c r="S14" s="308" t="s">
        <v>5</v>
      </c>
    </row>
    <row r="15" spans="2:19" ht="5.25" customHeight="1" x14ac:dyDescent="0.2">
      <c r="B15" s="136"/>
      <c r="C15" s="132"/>
      <c r="D15" s="133"/>
      <c r="E15" s="133"/>
      <c r="F15" s="134"/>
      <c r="G15" s="135"/>
      <c r="H15" s="135"/>
      <c r="I15" s="135"/>
      <c r="J15" s="135"/>
      <c r="K15" s="137"/>
      <c r="L15" s="137"/>
      <c r="P15" s="151"/>
      <c r="Q15" s="150"/>
      <c r="R15" s="150"/>
      <c r="S15" s="152"/>
    </row>
    <row r="16" spans="2:19" ht="18" x14ac:dyDescent="0.2">
      <c r="B16" s="144">
        <v>1</v>
      </c>
      <c r="C16" s="145">
        <f>RESUMEN!C15</f>
        <v>1</v>
      </c>
      <c r="D16" s="111" t="str">
        <f>VLOOKUP(C16,RESUMEN!$C$15:$D$35,2,0)</f>
        <v>CONSORCIO VIAL LA GLORIA</v>
      </c>
      <c r="E16" s="146">
        <f>VLOOKUP(C16,FORMULA!$C$44:$H$64,3,0)</f>
        <v>3605837741</v>
      </c>
      <c r="F16" s="229">
        <f>VLOOKUP(C16,FORMULA!$C$44:$H$64,5,0)</f>
        <v>-9.0260585729230458E-3</v>
      </c>
      <c r="G16" s="207">
        <f>VLOOKUP(C16,FORMULA!$C$44:$H$64,6,0)</f>
        <v>896.37076102529761</v>
      </c>
      <c r="H16" s="147">
        <f>VLOOKUP($C16,RESUMEN!$C$15:$I$35,4,FALSE)</f>
        <v>0</v>
      </c>
      <c r="I16" s="147">
        <f>VLOOKUP($C16,RESUMEN!$C$15:$I$35,5,FALSE)</f>
        <v>100</v>
      </c>
      <c r="J16" s="147">
        <f>VLOOKUP($C16,RESUMEN!$C$15:$I$35,6,FALSE)</f>
        <v>0</v>
      </c>
      <c r="K16" s="252">
        <f>IF(E16="DESCARTADO",-L16,SUM(G16:J16,-L16))</f>
        <v>996.37076102429762</v>
      </c>
      <c r="L16" s="148">
        <v>1.0000000000000001E-9</v>
      </c>
      <c r="M16" s="192">
        <f t="shared" ref="M16:M36" si="0">C16</f>
        <v>1</v>
      </c>
      <c r="O16" s="73">
        <f t="shared" ref="O16:O36" si="1">RANK(K16,$K$16:$K$36,0)</f>
        <v>4</v>
      </c>
      <c r="P16" s="156">
        <v>1</v>
      </c>
      <c r="Q16" s="157" t="str">
        <f t="shared" ref="Q16:Q36" ca="1" si="2">IF(P16="","",OFFSET($D$15,MATCH(B16,$O$16:$O$36,0),0))</f>
        <v>CONSORCIO VIAS NACIONALES 007</v>
      </c>
      <c r="R16" s="467">
        <f t="shared" ref="R16:R36" ca="1" si="3">IF(Q16="","",VLOOKUP(Q16,$D$16:$M$36,10,FALSE))</f>
        <v>17</v>
      </c>
      <c r="S16" s="205">
        <f t="shared" ref="S16:S36" ca="1" si="4">IF(Q16="","",VLOOKUP(Q16,$D$16:$K$36,8,FALSE))</f>
        <v>999.13055350073989</v>
      </c>
    </row>
    <row r="17" spans="2:19" ht="18" x14ac:dyDescent="0.2">
      <c r="B17" s="144">
        <v>2</v>
      </c>
      <c r="C17" s="145">
        <f>RESUMEN!C16</f>
        <v>2</v>
      </c>
      <c r="D17" s="111" t="str">
        <f>VLOOKUP(C17,RESUMEN!$C$15:$D$35,2,0)</f>
        <v>CONSORCIO NUEVAS VIAS 2018</v>
      </c>
      <c r="E17" s="146" t="str">
        <f>VLOOKUP(C17,FORMULA!$C$44:$H$64,3,0)</f>
        <v>DESCARTADO</v>
      </c>
      <c r="F17" s="229" t="str">
        <f>VLOOKUP(C17,FORMULA!$C$44:$H$64,5,0)</f>
        <v>DESCARTADO</v>
      </c>
      <c r="G17" s="207" t="str">
        <f>VLOOKUP(C17,FORMULA!$C$44:$H$64,6,0)</f>
        <v>DESCARTADO</v>
      </c>
      <c r="H17" s="147">
        <f>VLOOKUP($C17,RESUMEN!$C$15:$I$35,4,FALSE)</f>
        <v>0</v>
      </c>
      <c r="I17" s="147">
        <f>VLOOKUP($C17,RESUMEN!$C$15:$I$35,5,FALSE)</f>
        <v>100</v>
      </c>
      <c r="J17" s="147">
        <f>VLOOKUP($C17,RESUMEN!$C$15:$I$35,6,FALSE)</f>
        <v>0</v>
      </c>
      <c r="K17" s="252">
        <f t="shared" ref="K17:K36" si="5">IF(E17="DESCARTADO",-L17,SUM(G17:J17,-L17))</f>
        <v>-1.0999999999999999E-9</v>
      </c>
      <c r="L17" s="148">
        <v>1.0999999999999999E-9</v>
      </c>
      <c r="M17" s="192">
        <f t="shared" si="0"/>
        <v>2</v>
      </c>
      <c r="O17" s="73">
        <f t="shared" si="1"/>
        <v>13</v>
      </c>
      <c r="P17" s="156">
        <f>P16+1</f>
        <v>2</v>
      </c>
      <c r="Q17" s="157" t="str">
        <f t="shared" ca="1" si="2"/>
        <v>CONSORCIO VIAS TERCIARIAS</v>
      </c>
      <c r="R17" s="193">
        <f t="shared" ca="1" si="3"/>
        <v>9</v>
      </c>
      <c r="S17" s="205">
        <f t="shared" ca="1" si="4"/>
        <v>998.66913993443245</v>
      </c>
    </row>
    <row r="18" spans="2:19" ht="18" x14ac:dyDescent="0.2">
      <c r="B18" s="144">
        <v>3</v>
      </c>
      <c r="C18" s="145">
        <f>RESUMEN!C17</f>
        <v>3</v>
      </c>
      <c r="D18" s="111" t="str">
        <f>VLOOKUP(C18,RESUMEN!$C$15:$D$35,2,0)</f>
        <v>UNION TEMPORAL VIAS 2018</v>
      </c>
      <c r="E18" s="146" t="str">
        <f>VLOOKUP(C18,FORMULA!$C$44:$H$64,3,0)</f>
        <v>DESCARTADO</v>
      </c>
      <c r="F18" s="229" t="str">
        <f>VLOOKUP(C18,FORMULA!$C$44:$H$64,5,0)</f>
        <v>DESCARTADO</v>
      </c>
      <c r="G18" s="207" t="str">
        <f>VLOOKUP(C18,FORMULA!$C$44:$H$64,6,0)</f>
        <v>DESCARTADO</v>
      </c>
      <c r="H18" s="147">
        <f>VLOOKUP($C18,RESUMEN!$C$15:$I$35,4,FALSE)</f>
        <v>0</v>
      </c>
      <c r="I18" s="147">
        <f>VLOOKUP($C18,RESUMEN!$C$15:$I$35,5,FALSE)</f>
        <v>100</v>
      </c>
      <c r="J18" s="147">
        <f>VLOOKUP($C18,RESUMEN!$C$15:$I$35,6,FALSE)</f>
        <v>0</v>
      </c>
      <c r="K18" s="252">
        <f t="shared" si="5"/>
        <v>-1.2E-9</v>
      </c>
      <c r="L18" s="148">
        <v>1.2E-9</v>
      </c>
      <c r="M18" s="192">
        <f t="shared" si="0"/>
        <v>3</v>
      </c>
      <c r="O18" s="73">
        <f t="shared" si="1"/>
        <v>14</v>
      </c>
      <c r="P18" s="156">
        <f t="shared" ref="P18:P36" si="6">P17+1</f>
        <v>3</v>
      </c>
      <c r="Q18" s="157" t="str">
        <f t="shared" ca="1" si="2"/>
        <v>CONSORCIO OBRAS MI</v>
      </c>
      <c r="R18" s="193">
        <f t="shared" ca="1" si="3"/>
        <v>24</v>
      </c>
      <c r="S18" s="205">
        <f t="shared" ca="1" si="4"/>
        <v>997.20230859806441</v>
      </c>
    </row>
    <row r="19" spans="2:19" ht="18" x14ac:dyDescent="0.2">
      <c r="B19" s="144">
        <v>4</v>
      </c>
      <c r="C19" s="145">
        <f>RESUMEN!C18</f>
        <v>5</v>
      </c>
      <c r="D19" s="111" t="str">
        <f>VLOOKUP(C19,RESUMEN!$C$15:$D$35,2,0)</f>
        <v>R3 CONSTRUCTORES &amp; CONSULTORES SAS</v>
      </c>
      <c r="E19" s="146">
        <f>VLOOKUP(C19,FORMULA!$C$44:$H$64,3,0)</f>
        <v>3638451855</v>
      </c>
      <c r="F19" s="229">
        <f>VLOOKUP(C19,FORMULA!$C$44:$H$64,5,0)</f>
        <v>-6.2888453191356497E-5</v>
      </c>
      <c r="G19" s="207">
        <f>VLOOKUP(C19,FORMULA!$C$44:$H$64,6,0)</f>
        <v>891.0434731232375</v>
      </c>
      <c r="H19" s="147">
        <f>VLOOKUP($C19,RESUMEN!$C$15:$I$35,4,FALSE)</f>
        <v>0</v>
      </c>
      <c r="I19" s="147">
        <f>VLOOKUP($C19,RESUMEN!$C$15:$I$35,5,FALSE)</f>
        <v>100</v>
      </c>
      <c r="J19" s="147">
        <f>VLOOKUP($C19,RESUMEN!$C$15:$I$35,6,FALSE)</f>
        <v>0</v>
      </c>
      <c r="K19" s="252">
        <f t="shared" si="5"/>
        <v>991.0434731219375</v>
      </c>
      <c r="L19" s="148">
        <v>1.3000000000000001E-9</v>
      </c>
      <c r="M19" s="192">
        <f t="shared" si="0"/>
        <v>5</v>
      </c>
      <c r="O19" s="73">
        <f t="shared" si="1"/>
        <v>9</v>
      </c>
      <c r="P19" s="156">
        <f t="shared" si="6"/>
        <v>4</v>
      </c>
      <c r="Q19" s="157" t="str">
        <f t="shared" ca="1" si="2"/>
        <v>CONSORCIO VIAL LA GLORIA</v>
      </c>
      <c r="R19" s="193">
        <f t="shared" ca="1" si="3"/>
        <v>1</v>
      </c>
      <c r="S19" s="205">
        <f t="shared" ca="1" si="4"/>
        <v>996.37076102429762</v>
      </c>
    </row>
    <row r="20" spans="2:19" ht="18" x14ac:dyDescent="0.2">
      <c r="B20" s="144">
        <v>5</v>
      </c>
      <c r="C20" s="145">
        <f>RESUMEN!C19</f>
        <v>6</v>
      </c>
      <c r="D20" s="111" t="str">
        <f>VLOOKUP(C20,RESUMEN!$C$15:$D$35,2,0)</f>
        <v>UNION TEMPORAL ZOMAC-LA GLORIA</v>
      </c>
      <c r="E20" s="146" t="str">
        <f>VLOOKUP(C20,FORMULA!$C$44:$H$64,3,0)</f>
        <v>DESCARTADO</v>
      </c>
      <c r="F20" s="229" t="str">
        <f>VLOOKUP(C20,FORMULA!$C$44:$H$64,5,0)</f>
        <v>DESCARTADO</v>
      </c>
      <c r="G20" s="207" t="str">
        <f>VLOOKUP(C20,FORMULA!$C$44:$H$64,6,0)</f>
        <v>DESCARTADO</v>
      </c>
      <c r="H20" s="147">
        <f>VLOOKUP($C20,RESUMEN!$C$15:$I$35,4,FALSE)</f>
        <v>0</v>
      </c>
      <c r="I20" s="147">
        <f>VLOOKUP($C20,RESUMEN!$C$15:$I$35,5,FALSE)</f>
        <v>100</v>
      </c>
      <c r="J20" s="147">
        <f>VLOOKUP($C20,RESUMEN!$C$15:$I$35,6,FALSE)</f>
        <v>0</v>
      </c>
      <c r="K20" s="252">
        <f t="shared" si="5"/>
        <v>-1.3999999999999999E-9</v>
      </c>
      <c r="L20" s="148">
        <v>1.3999999999999999E-9</v>
      </c>
      <c r="M20" s="192">
        <f t="shared" si="0"/>
        <v>6</v>
      </c>
      <c r="O20" s="73">
        <f t="shared" si="1"/>
        <v>15</v>
      </c>
      <c r="P20" s="156">
        <f t="shared" si="6"/>
        <v>5</v>
      </c>
      <c r="Q20" s="157" t="str">
        <f t="shared" ca="1" si="2"/>
        <v>UNION TEMPORAL PAVIMENTOS ARIZONA</v>
      </c>
      <c r="R20" s="193">
        <f t="shared" ca="1" si="3"/>
        <v>27</v>
      </c>
      <c r="S20" s="205">
        <f t="shared" ca="1" si="4"/>
        <v>995.37659857630456</v>
      </c>
    </row>
    <row r="21" spans="2:19" ht="18" x14ac:dyDescent="0.2">
      <c r="B21" s="144">
        <v>6</v>
      </c>
      <c r="C21" s="145">
        <f>RESUMEN!C20</f>
        <v>7</v>
      </c>
      <c r="D21" s="111" t="str">
        <f>VLOOKUP(C21,RESUMEN!$C$15:$D$35,2,0)</f>
        <v>CONSTRUAMBIENTES SAS</v>
      </c>
      <c r="E21" s="146" t="str">
        <f>VLOOKUP(C21,FORMULA!$C$44:$H$64,3,0)</f>
        <v>DESCARTADO</v>
      </c>
      <c r="F21" s="229" t="str">
        <f>VLOOKUP(C21,FORMULA!$C$44:$H$64,5,0)</f>
        <v>DESCARTADO</v>
      </c>
      <c r="G21" s="207" t="str">
        <f>VLOOKUP(C21,FORMULA!$C$44:$H$64,6,0)</f>
        <v>DESCARTADO</v>
      </c>
      <c r="H21" s="147">
        <f>VLOOKUP($C21,RESUMEN!$C$15:$I$35,4,FALSE)</f>
        <v>0</v>
      </c>
      <c r="I21" s="147">
        <f>VLOOKUP($C21,RESUMEN!$C$15:$I$35,5,FALSE)</f>
        <v>100</v>
      </c>
      <c r="J21" s="147">
        <f>VLOOKUP($C21,RESUMEN!$C$15:$I$35,6,FALSE)</f>
        <v>0</v>
      </c>
      <c r="K21" s="252">
        <f t="shared" si="5"/>
        <v>-1.5E-9</v>
      </c>
      <c r="L21" s="148">
        <v>1.5E-9</v>
      </c>
      <c r="M21" s="192">
        <f t="shared" si="0"/>
        <v>7</v>
      </c>
      <c r="O21" s="73">
        <f t="shared" si="1"/>
        <v>16</v>
      </c>
      <c r="P21" s="156">
        <f t="shared" si="6"/>
        <v>6</v>
      </c>
      <c r="Q21" s="157" t="str">
        <f t="shared" ca="1" si="2"/>
        <v>CONSORCIO VIAL</v>
      </c>
      <c r="R21" s="193">
        <f t="shared" ca="1" si="3"/>
        <v>8</v>
      </c>
      <c r="S21" s="205">
        <f t="shared" ca="1" si="4"/>
        <v>993.66921513165653</v>
      </c>
    </row>
    <row r="22" spans="2:19" ht="18" x14ac:dyDescent="0.2">
      <c r="B22" s="144">
        <v>7</v>
      </c>
      <c r="C22" s="145">
        <f>RESUMEN!C21</f>
        <v>8</v>
      </c>
      <c r="D22" s="111" t="str">
        <f>VLOOKUP(C22,RESUMEN!$C$15:$D$35,2,0)</f>
        <v>CONSORCIO VIAL</v>
      </c>
      <c r="E22" s="146">
        <f>VLOOKUP(C22,FORMULA!$C$44:$H$64,3,0)</f>
        <v>3594970211</v>
      </c>
      <c r="F22" s="229">
        <f>VLOOKUP(C22,FORMULA!$C$44:$H$64,5,0)</f>
        <v>-1.2012726252176531E-2</v>
      </c>
      <c r="G22" s="207">
        <f>VLOOKUP(C22,FORMULA!$C$44:$H$64,6,0)</f>
        <v>893.66921513325656</v>
      </c>
      <c r="H22" s="147">
        <f>VLOOKUP($C22,RESUMEN!$C$15:$I$35,4,FALSE)</f>
        <v>0</v>
      </c>
      <c r="I22" s="147">
        <f>VLOOKUP($C22,RESUMEN!$C$15:$I$35,5,FALSE)</f>
        <v>100</v>
      </c>
      <c r="J22" s="147">
        <f>VLOOKUP($C22,RESUMEN!$C$15:$I$35,6,FALSE)</f>
        <v>0</v>
      </c>
      <c r="K22" s="252">
        <f t="shared" si="5"/>
        <v>993.66921513165653</v>
      </c>
      <c r="L22" s="148">
        <v>1.6000000000000001E-9</v>
      </c>
      <c r="M22" s="192">
        <f t="shared" si="0"/>
        <v>8</v>
      </c>
      <c r="O22" s="73">
        <f t="shared" si="1"/>
        <v>6</v>
      </c>
      <c r="P22" s="156">
        <f t="shared" si="6"/>
        <v>7</v>
      </c>
      <c r="Q22" s="157" t="str">
        <f t="shared" ca="1" si="2"/>
        <v>CONSORCIO HUILA 2018</v>
      </c>
      <c r="R22" s="193">
        <f t="shared" ca="1" si="3"/>
        <v>11</v>
      </c>
      <c r="S22" s="205">
        <f t="shared" ca="1" si="4"/>
        <v>993.41475121658891</v>
      </c>
    </row>
    <row r="23" spans="2:19" ht="18" x14ac:dyDescent="0.2">
      <c r="B23" s="144">
        <v>8</v>
      </c>
      <c r="C23" s="145">
        <f>RESUMEN!C22</f>
        <v>9</v>
      </c>
      <c r="D23" s="111" t="str">
        <f>VLOOKUP(C23,RESUMEN!$C$15:$D$35,2,0)</f>
        <v>CONSORCIO VIAS TERCIARIAS</v>
      </c>
      <c r="E23" s="146">
        <f>VLOOKUP(C23,FORMULA!$C$44:$H$64,3,0)</f>
        <v>3615083448</v>
      </c>
      <c r="F23" s="229">
        <f>VLOOKUP(C23,FORMULA!$C$44:$H$64,5,0)</f>
        <v>-6.4851082126529125E-3</v>
      </c>
      <c r="G23" s="207">
        <f>VLOOKUP(C23,FORMULA!$C$44:$H$64,6,0)</f>
        <v>898.66913993613241</v>
      </c>
      <c r="H23" s="147">
        <f>VLOOKUP($C23,RESUMEN!$C$15:$I$35,4,FALSE)</f>
        <v>0</v>
      </c>
      <c r="I23" s="147">
        <f>VLOOKUP($C23,RESUMEN!$C$15:$I$35,5,FALSE)</f>
        <v>100</v>
      </c>
      <c r="J23" s="147">
        <f>VLOOKUP($C23,RESUMEN!$C$15:$I$35,6,FALSE)</f>
        <v>0</v>
      </c>
      <c r="K23" s="252">
        <f t="shared" si="5"/>
        <v>998.66913993443245</v>
      </c>
      <c r="L23" s="148">
        <v>1.6999999999999999E-9</v>
      </c>
      <c r="M23" s="192">
        <f t="shared" si="0"/>
        <v>9</v>
      </c>
      <c r="O23" s="73">
        <f t="shared" si="1"/>
        <v>2</v>
      </c>
      <c r="P23" s="156">
        <f t="shared" si="6"/>
        <v>8</v>
      </c>
      <c r="Q23" s="157" t="str">
        <f t="shared" ca="1" si="2"/>
        <v>INGENIERIA DE PROYECTOS AML SAS</v>
      </c>
      <c r="R23" s="193">
        <f t="shared" ca="1" si="3"/>
        <v>25</v>
      </c>
      <c r="S23" s="205">
        <f t="shared" ca="1" si="4"/>
        <v>991.16150906470637</v>
      </c>
    </row>
    <row r="24" spans="2:19" ht="18" x14ac:dyDescent="0.2">
      <c r="B24" s="144">
        <v>9</v>
      </c>
      <c r="C24" s="145">
        <f>RESUMEN!C23</f>
        <v>10</v>
      </c>
      <c r="D24" s="111" t="str">
        <f>VLOOKUP(C24,RESUMEN!$C$15:$D$35,2,0)</f>
        <v>CONSORCIO LA GLORIA</v>
      </c>
      <c r="E24" s="146" t="str">
        <f>VLOOKUP(C24,FORMULA!$C$44:$H$64,3,0)</f>
        <v>DESCARTADO</v>
      </c>
      <c r="F24" s="229" t="str">
        <f>VLOOKUP(C24,FORMULA!$C$44:$H$64,5,0)</f>
        <v>DESCARTADO</v>
      </c>
      <c r="G24" s="207" t="str">
        <f>VLOOKUP(C24,FORMULA!$C$44:$H$64,6,0)</f>
        <v>DESCARTADO</v>
      </c>
      <c r="H24" s="147">
        <f>VLOOKUP($C24,RESUMEN!$C$15:$I$35,4,FALSE)</f>
        <v>0</v>
      </c>
      <c r="I24" s="147">
        <f>VLOOKUP($C24,RESUMEN!$C$15:$I$35,5,FALSE)</f>
        <v>100</v>
      </c>
      <c r="J24" s="147">
        <f>VLOOKUP($C24,RESUMEN!$C$15:$I$35,6,FALSE)</f>
        <v>0</v>
      </c>
      <c r="K24" s="252">
        <f t="shared" si="5"/>
        <v>-1.8E-9</v>
      </c>
      <c r="L24" s="148">
        <v>1.8E-9</v>
      </c>
      <c r="M24" s="192">
        <f t="shared" si="0"/>
        <v>10</v>
      </c>
      <c r="O24" s="73">
        <f t="shared" si="1"/>
        <v>17</v>
      </c>
      <c r="P24" s="156">
        <f t="shared" si="6"/>
        <v>9</v>
      </c>
      <c r="Q24" s="157" t="str">
        <f t="shared" ca="1" si="2"/>
        <v>R3 CONSTRUCTORES &amp; CONSULTORES SAS</v>
      </c>
      <c r="R24" s="193">
        <f t="shared" ca="1" si="3"/>
        <v>5</v>
      </c>
      <c r="S24" s="205">
        <f t="shared" ca="1" si="4"/>
        <v>991.0434731219375</v>
      </c>
    </row>
    <row r="25" spans="2:19" ht="18" x14ac:dyDescent="0.2">
      <c r="B25" s="144">
        <v>10</v>
      </c>
      <c r="C25" s="145">
        <f>RESUMEN!C24</f>
        <v>11</v>
      </c>
      <c r="D25" s="111" t="str">
        <f>VLOOKUP(C25,RESUMEN!$C$15:$D$35,2,0)</f>
        <v>CONSORCIO HUILA 2018</v>
      </c>
      <c r="E25" s="146">
        <f>VLOOKUP(C25,FORMULA!$C$44:$H$64,3,0)</f>
        <v>3593946577</v>
      </c>
      <c r="F25" s="229">
        <f>VLOOKUP(C25,FORMULA!$C$44:$H$64,5,0)</f>
        <v>-1.2294046348204302E-2</v>
      </c>
      <c r="G25" s="207">
        <f>VLOOKUP(C25,FORMULA!$C$44:$H$64,6,0)</f>
        <v>893.41475121848896</v>
      </c>
      <c r="H25" s="147">
        <f>VLOOKUP($C25,RESUMEN!$C$15:$I$35,4,FALSE)</f>
        <v>0</v>
      </c>
      <c r="I25" s="147">
        <f>VLOOKUP($C25,RESUMEN!$C$15:$I$35,5,FALSE)</f>
        <v>100</v>
      </c>
      <c r="J25" s="147">
        <f>VLOOKUP($C25,RESUMEN!$C$15:$I$35,6,FALSE)</f>
        <v>0</v>
      </c>
      <c r="K25" s="252">
        <f t="shared" si="5"/>
        <v>993.41475121658891</v>
      </c>
      <c r="L25" s="148">
        <v>1.9000000000000001E-9</v>
      </c>
      <c r="M25" s="192">
        <f t="shared" si="0"/>
        <v>11</v>
      </c>
      <c r="O25" s="73">
        <f t="shared" si="1"/>
        <v>7</v>
      </c>
      <c r="P25" s="156">
        <f t="shared" si="6"/>
        <v>10</v>
      </c>
      <c r="Q25" s="157" t="str">
        <f t="shared" ca="1" si="2"/>
        <v>DISCEP SAS</v>
      </c>
      <c r="R25" s="193">
        <f t="shared" ca="1" si="3"/>
        <v>23</v>
      </c>
      <c r="S25" s="205">
        <f t="shared" ca="1" si="4"/>
        <v>990.96712035471614</v>
      </c>
    </row>
    <row r="26" spans="2:19" ht="36" x14ac:dyDescent="0.2">
      <c r="B26" s="144">
        <v>11</v>
      </c>
      <c r="C26" s="145">
        <f>RESUMEN!C25</f>
        <v>13</v>
      </c>
      <c r="D26" s="111" t="str">
        <f>VLOOKUP(C26,RESUMEN!$C$15:$D$35,2,0)</f>
        <v>CONSORCIO B&amp;B LA GLORIA</v>
      </c>
      <c r="E26" s="146" t="str">
        <f>VLOOKUP(C26,FORMULA!$C$44:$H$64,3,0)</f>
        <v>DESCARTADO</v>
      </c>
      <c r="F26" s="229" t="str">
        <f>VLOOKUP(C26,FORMULA!$C$44:$H$64,5,0)</f>
        <v>DESCARTADO</v>
      </c>
      <c r="G26" s="207" t="str">
        <f>VLOOKUP(C26,FORMULA!$C$44:$H$64,6,0)</f>
        <v>DESCARTADO</v>
      </c>
      <c r="H26" s="147">
        <f>VLOOKUP($C26,RESUMEN!$C$15:$I$35,4,FALSE)</f>
        <v>0</v>
      </c>
      <c r="I26" s="147">
        <f>VLOOKUP($C26,RESUMEN!$C$15:$I$35,5,FALSE)</f>
        <v>100</v>
      </c>
      <c r="J26" s="147">
        <f>VLOOKUP($C26,RESUMEN!$C$15:$I$35,6,FALSE)</f>
        <v>0</v>
      </c>
      <c r="K26" s="252">
        <f t="shared" si="5"/>
        <v>-2.0000000000000001E-9</v>
      </c>
      <c r="L26" s="148">
        <v>2.0000000000000001E-9</v>
      </c>
      <c r="M26" s="192">
        <f t="shared" si="0"/>
        <v>13</v>
      </c>
      <c r="O26" s="73">
        <f t="shared" si="1"/>
        <v>18</v>
      </c>
      <c r="P26" s="156">
        <f t="shared" si="6"/>
        <v>11</v>
      </c>
      <c r="Q26" s="157" t="str">
        <f t="shared" ca="1" si="2"/>
        <v>OBRAS CIVILES Y EQUIPOS SAS – OCIEQUIPOS SAS</v>
      </c>
      <c r="R26" s="193">
        <f t="shared" ca="1" si="3"/>
        <v>28</v>
      </c>
      <c r="S26" s="205">
        <f t="shared" ca="1" si="4"/>
        <v>989.94762599798844</v>
      </c>
    </row>
    <row r="27" spans="2:19" ht="18" x14ac:dyDescent="0.2">
      <c r="B27" s="144">
        <v>12</v>
      </c>
      <c r="C27" s="145">
        <f>RESUMEN!C26</f>
        <v>16</v>
      </c>
      <c r="D27" s="111" t="str">
        <f>VLOOKUP(C27,RESUMEN!$C$15:$D$35,2,0)</f>
        <v>CONSORCIO PROYECTO 1</v>
      </c>
      <c r="E27" s="146" t="str">
        <f>VLOOKUP(C27,FORMULA!$C$44:$H$64,3,0)</f>
        <v>DESCARTADO</v>
      </c>
      <c r="F27" s="229" t="str">
        <f>VLOOKUP(C27,FORMULA!$C$44:$H$64,5,0)</f>
        <v>DESCARTADO</v>
      </c>
      <c r="G27" s="207" t="str">
        <f>VLOOKUP(C27,FORMULA!$C$44:$H$64,6,0)</f>
        <v>DESCARTADO</v>
      </c>
      <c r="H27" s="147">
        <f>VLOOKUP($C27,RESUMEN!$C$15:$I$35,4,FALSE)</f>
        <v>0</v>
      </c>
      <c r="I27" s="147">
        <f>VLOOKUP($C27,RESUMEN!$C$15:$I$35,5,FALSE)</f>
        <v>100</v>
      </c>
      <c r="J27" s="147">
        <f>VLOOKUP($C27,RESUMEN!$C$15:$I$35,6,FALSE)</f>
        <v>0</v>
      </c>
      <c r="K27" s="252">
        <f t="shared" si="5"/>
        <v>-2.1000000000000002E-9</v>
      </c>
      <c r="L27" s="148">
        <v>2.1000000000000002E-9</v>
      </c>
      <c r="M27" s="192">
        <f t="shared" si="0"/>
        <v>16</v>
      </c>
      <c r="O27" s="73">
        <f t="shared" si="1"/>
        <v>19</v>
      </c>
      <c r="P27" s="156">
        <f t="shared" si="6"/>
        <v>12</v>
      </c>
      <c r="Q27" s="157" t="str">
        <f t="shared" ca="1" si="2"/>
        <v>KMC SAS</v>
      </c>
      <c r="R27" s="193">
        <f t="shared" ca="1" si="3"/>
        <v>18</v>
      </c>
      <c r="S27" s="205">
        <f t="shared" ca="1" si="4"/>
        <v>988.93788974595316</v>
      </c>
    </row>
    <row r="28" spans="2:19" ht="18" x14ac:dyDescent="0.2">
      <c r="B28" s="144">
        <v>13</v>
      </c>
      <c r="C28" s="145">
        <f>RESUMEN!C27</f>
        <v>17</v>
      </c>
      <c r="D28" s="111" t="str">
        <f>VLOOKUP(C28,RESUMEN!$C$15:$D$35,2,0)</f>
        <v>CONSORCIO VIAS NACIONALES 007</v>
      </c>
      <c r="E28" s="146">
        <f>VLOOKUP(C28,FORMULA!$C$44:$H$64,3,0)</f>
        <v>3616939580</v>
      </c>
      <c r="F28" s="229">
        <f>VLOOKUP(C28,FORMULA!$C$44:$H$64,5,0)</f>
        <v>-5.974996949759781E-3</v>
      </c>
      <c r="G28" s="207">
        <f>VLOOKUP(C28,FORMULA!$C$44:$H$64,6,0)</f>
        <v>899.13055350293985</v>
      </c>
      <c r="H28" s="147">
        <f>VLOOKUP($C28,RESUMEN!$C$15:$I$35,4,FALSE)</f>
        <v>0</v>
      </c>
      <c r="I28" s="147">
        <f>VLOOKUP($C28,RESUMEN!$C$15:$I$35,5,FALSE)</f>
        <v>100</v>
      </c>
      <c r="J28" s="147">
        <f>VLOOKUP($C28,RESUMEN!$C$15:$I$35,6,FALSE)</f>
        <v>0</v>
      </c>
      <c r="K28" s="252">
        <f t="shared" si="5"/>
        <v>999.13055350073989</v>
      </c>
      <c r="L28" s="148">
        <v>2.1999999999999998E-9</v>
      </c>
      <c r="M28" s="192">
        <f t="shared" si="0"/>
        <v>17</v>
      </c>
      <c r="O28" s="73">
        <f t="shared" si="1"/>
        <v>1</v>
      </c>
      <c r="P28" s="156">
        <f t="shared" si="6"/>
        <v>13</v>
      </c>
      <c r="Q28" s="157" t="str">
        <f t="shared" ca="1" si="2"/>
        <v>CONSORCIO NUEVAS VIAS 2018</v>
      </c>
      <c r="R28" s="193">
        <f t="shared" ca="1" si="3"/>
        <v>2</v>
      </c>
      <c r="S28" s="205">
        <f t="shared" ca="1" si="4"/>
        <v>-1.0999999999999999E-9</v>
      </c>
    </row>
    <row r="29" spans="2:19" ht="18" x14ac:dyDescent="0.2">
      <c r="B29" s="144">
        <v>14</v>
      </c>
      <c r="C29" s="145">
        <f>RESUMEN!C28</f>
        <v>18</v>
      </c>
      <c r="D29" s="111" t="str">
        <f>VLOOKUP(C29,RESUMEN!$C$15:$D$35,2,0)</f>
        <v>KMC SAS</v>
      </c>
      <c r="E29" s="146">
        <f>VLOOKUP(C29,FORMULA!$C$44:$H$64,3,0)</f>
        <v>3575937471</v>
      </c>
      <c r="F29" s="229">
        <f>VLOOKUP(C29,FORMULA!$C$44:$H$64,5,0)</f>
        <v>-1.7243396828253599E-2</v>
      </c>
      <c r="G29" s="207">
        <f>VLOOKUP(C29,FORMULA!$C$44:$H$64,6,0)</f>
        <v>888.93788974825316</v>
      </c>
      <c r="H29" s="147">
        <f>VLOOKUP($C29,RESUMEN!$C$15:$I$35,4,FALSE)</f>
        <v>0</v>
      </c>
      <c r="I29" s="147">
        <f>VLOOKUP($C29,RESUMEN!$C$15:$I$35,5,FALSE)</f>
        <v>100</v>
      </c>
      <c r="J29" s="147">
        <f>VLOOKUP($C29,RESUMEN!$C$15:$I$35,6,FALSE)</f>
        <v>0</v>
      </c>
      <c r="K29" s="252">
        <f t="shared" si="5"/>
        <v>988.93788974595316</v>
      </c>
      <c r="L29" s="148">
        <v>2.2999999999999999E-9</v>
      </c>
      <c r="M29" s="192">
        <f t="shared" si="0"/>
        <v>18</v>
      </c>
      <c r="O29" s="73">
        <f t="shared" si="1"/>
        <v>12</v>
      </c>
      <c r="P29" s="156">
        <f t="shared" si="6"/>
        <v>14</v>
      </c>
      <c r="Q29" s="157" t="str">
        <f t="shared" ca="1" si="2"/>
        <v>UNION TEMPORAL VIAS 2018</v>
      </c>
      <c r="R29" s="193">
        <f t="shared" ca="1" si="3"/>
        <v>3</v>
      </c>
      <c r="S29" s="205">
        <f t="shared" ca="1" si="4"/>
        <v>-1.2E-9</v>
      </c>
    </row>
    <row r="30" spans="2:19" ht="18" x14ac:dyDescent="0.2">
      <c r="B30" s="144">
        <v>15</v>
      </c>
      <c r="C30" s="145">
        <f>RESUMEN!C29</f>
        <v>22</v>
      </c>
      <c r="D30" s="111" t="str">
        <f>VLOOKUP(C30,RESUMEN!$C$15:$D$35,2,0)</f>
        <v>CONSORCIO MANZANARES</v>
      </c>
      <c r="E30" s="146" t="str">
        <f>VLOOKUP(C30,FORMULA!$C$44:$H$64,3,0)</f>
        <v>DESCARTADO</v>
      </c>
      <c r="F30" s="229" t="str">
        <f>VLOOKUP(C30,FORMULA!$C$44:$H$64,5,0)</f>
        <v>DESCARTADO</v>
      </c>
      <c r="G30" s="207" t="str">
        <f>VLOOKUP(C30,FORMULA!$C$44:$H$64,6,0)</f>
        <v>DESCARTADO</v>
      </c>
      <c r="H30" s="147">
        <f>VLOOKUP($C30,RESUMEN!$C$15:$I$35,4,FALSE)</f>
        <v>0</v>
      </c>
      <c r="I30" s="147">
        <f>VLOOKUP($C30,RESUMEN!$C$15:$I$35,5,FALSE)</f>
        <v>100</v>
      </c>
      <c r="J30" s="147">
        <f>VLOOKUP($C30,RESUMEN!$C$15:$I$35,6,FALSE)</f>
        <v>0</v>
      </c>
      <c r="K30" s="252">
        <f t="shared" si="5"/>
        <v>-2.4E-9</v>
      </c>
      <c r="L30" s="148">
        <v>2.4E-9</v>
      </c>
      <c r="M30" s="192">
        <f t="shared" si="0"/>
        <v>22</v>
      </c>
      <c r="O30" s="73">
        <f t="shared" si="1"/>
        <v>20</v>
      </c>
      <c r="P30" s="156">
        <f t="shared" si="6"/>
        <v>15</v>
      </c>
      <c r="Q30" s="157" t="str">
        <f t="shared" ca="1" si="2"/>
        <v>UNION TEMPORAL ZOMAC-LA GLORIA</v>
      </c>
      <c r="R30" s="193">
        <f t="shared" ca="1" si="3"/>
        <v>6</v>
      </c>
      <c r="S30" s="205">
        <f t="shared" ca="1" si="4"/>
        <v>-1.3999999999999999E-9</v>
      </c>
    </row>
    <row r="31" spans="2:19" ht="18" x14ac:dyDescent="0.2">
      <c r="B31" s="144">
        <v>16</v>
      </c>
      <c r="C31" s="145">
        <f>RESUMEN!C30</f>
        <v>23</v>
      </c>
      <c r="D31" s="111" t="str">
        <f>VLOOKUP(C31,RESUMEN!$C$15:$D$35,2,0)</f>
        <v>DISCEP SAS</v>
      </c>
      <c r="E31" s="146">
        <f>VLOOKUP(C31,FORMULA!$C$44:$H$64,3,0)</f>
        <v>3584100473</v>
      </c>
      <c r="F31" s="229">
        <f>VLOOKUP(C31,FORMULA!$C$44:$H$64,5,0)</f>
        <v>-1.5000000744775477E-2</v>
      </c>
      <c r="G31" s="207">
        <f>VLOOKUP(C31,FORMULA!$C$44:$H$64,6,0)</f>
        <v>890.96712035721612</v>
      </c>
      <c r="H31" s="147">
        <f>VLOOKUP($C31,RESUMEN!$C$15:$I$35,4,FALSE)</f>
        <v>0</v>
      </c>
      <c r="I31" s="147">
        <f>VLOOKUP($C31,RESUMEN!$C$15:$I$35,5,FALSE)</f>
        <v>100</v>
      </c>
      <c r="J31" s="147">
        <f>VLOOKUP($C31,RESUMEN!$C$15:$I$35,6,FALSE)</f>
        <v>0</v>
      </c>
      <c r="K31" s="252">
        <f t="shared" si="5"/>
        <v>990.96712035471614</v>
      </c>
      <c r="L31" s="148">
        <v>2.5000000000000001E-9</v>
      </c>
      <c r="M31" s="192">
        <f t="shared" si="0"/>
        <v>23</v>
      </c>
      <c r="O31" s="73">
        <f t="shared" si="1"/>
        <v>10</v>
      </c>
      <c r="P31" s="156">
        <f t="shared" si="6"/>
        <v>16</v>
      </c>
      <c r="Q31" s="157" t="str">
        <f t="shared" ca="1" si="2"/>
        <v>CONSTRUAMBIENTES SAS</v>
      </c>
      <c r="R31" s="193">
        <f t="shared" ca="1" si="3"/>
        <v>7</v>
      </c>
      <c r="S31" s="205">
        <f t="shared" ca="1" si="4"/>
        <v>-1.5E-9</v>
      </c>
    </row>
    <row r="32" spans="2:19" ht="18" x14ac:dyDescent="0.2">
      <c r="B32" s="144">
        <v>17</v>
      </c>
      <c r="C32" s="145">
        <f>RESUMEN!C31</f>
        <v>24</v>
      </c>
      <c r="D32" s="111" t="str">
        <f>VLOOKUP(C32,RESUMEN!$C$15:$D$35,2,0)</f>
        <v>CONSORCIO OBRAS MI</v>
      </c>
      <c r="E32" s="146">
        <f>VLOOKUP(C32,FORMULA!$C$44:$H$64,3,0)</f>
        <v>3609182814</v>
      </c>
      <c r="F32" s="229">
        <f>VLOOKUP(C32,FORMULA!$C$44:$H$64,5,0)</f>
        <v>-8.1067492713758904E-3</v>
      </c>
      <c r="G32" s="207">
        <f>VLOOKUP(C32,FORMULA!$C$44:$H$64,6,0)</f>
        <v>897.20230860066442</v>
      </c>
      <c r="H32" s="147">
        <f>VLOOKUP($C32,RESUMEN!$C$15:$I$35,4,FALSE)</f>
        <v>0</v>
      </c>
      <c r="I32" s="147">
        <f>VLOOKUP($C32,RESUMEN!$C$15:$I$35,5,FALSE)</f>
        <v>100</v>
      </c>
      <c r="J32" s="147">
        <f>VLOOKUP($C32,RESUMEN!$C$15:$I$35,6,FALSE)</f>
        <v>0</v>
      </c>
      <c r="K32" s="252">
        <f t="shared" si="5"/>
        <v>997.20230859806441</v>
      </c>
      <c r="L32" s="148">
        <v>2.6000000000000001E-9</v>
      </c>
      <c r="M32" s="192">
        <f t="shared" si="0"/>
        <v>24</v>
      </c>
      <c r="O32" s="73">
        <f t="shared" si="1"/>
        <v>3</v>
      </c>
      <c r="P32" s="156">
        <f t="shared" si="6"/>
        <v>17</v>
      </c>
      <c r="Q32" s="157" t="str">
        <f t="shared" ca="1" si="2"/>
        <v>CONSORCIO LA GLORIA</v>
      </c>
      <c r="R32" s="193">
        <f t="shared" ca="1" si="3"/>
        <v>10</v>
      </c>
      <c r="S32" s="205">
        <f t="shared" ca="1" si="4"/>
        <v>-1.8E-9</v>
      </c>
    </row>
    <row r="33" spans="2:19" ht="18" x14ac:dyDescent="0.2">
      <c r="B33" s="144">
        <v>18</v>
      </c>
      <c r="C33" s="145">
        <f>RESUMEN!C32</f>
        <v>25</v>
      </c>
      <c r="D33" s="111" t="str">
        <f>VLOOKUP(C33,RESUMEN!$C$15:$D$35,2,0)</f>
        <v>INGENIERIA DE PROYECTOS AML SAS</v>
      </c>
      <c r="E33" s="146">
        <f>VLOOKUP(C33,FORMULA!$C$44:$H$64,3,0)</f>
        <v>3584882442</v>
      </c>
      <c r="F33" s="229">
        <f>VLOOKUP(C33,FORMULA!$C$44:$H$64,5,0)</f>
        <v>-1.4785096204509296E-2</v>
      </c>
      <c r="G33" s="207">
        <f>VLOOKUP(C33,FORMULA!$C$44:$H$64,6,0)</f>
        <v>891.16150906740631</v>
      </c>
      <c r="H33" s="147">
        <f>VLOOKUP($C33,RESUMEN!$C$15:$I$35,4,FALSE)</f>
        <v>0</v>
      </c>
      <c r="I33" s="147">
        <f>VLOOKUP($C33,RESUMEN!$C$15:$I$35,5,FALSE)</f>
        <v>100</v>
      </c>
      <c r="J33" s="147">
        <f>VLOOKUP($C33,RESUMEN!$C$15:$I$35,6,FALSE)</f>
        <v>0</v>
      </c>
      <c r="K33" s="252">
        <f t="shared" si="5"/>
        <v>991.16150906470637</v>
      </c>
      <c r="L33" s="148">
        <v>2.7000000000000002E-9</v>
      </c>
      <c r="M33" s="192">
        <f t="shared" si="0"/>
        <v>25</v>
      </c>
      <c r="O33" s="73">
        <f t="shared" si="1"/>
        <v>8</v>
      </c>
      <c r="P33" s="156">
        <f t="shared" si="6"/>
        <v>18</v>
      </c>
      <c r="Q33" s="157" t="str">
        <f t="shared" ca="1" si="2"/>
        <v>CONSORCIO B&amp;B LA GLORIA</v>
      </c>
      <c r="R33" s="193">
        <f t="shared" ca="1" si="3"/>
        <v>13</v>
      </c>
      <c r="S33" s="205">
        <f t="shared" ca="1" si="4"/>
        <v>-2.0000000000000001E-9</v>
      </c>
    </row>
    <row r="34" spans="2:19" ht="18" x14ac:dyDescent="0.2">
      <c r="B34" s="144">
        <v>19</v>
      </c>
      <c r="C34" s="145">
        <f>RESUMEN!C33</f>
        <v>26</v>
      </c>
      <c r="D34" s="111" t="str">
        <f>VLOOKUP(C34,RESUMEN!$C$15:$D$35,2,0)</f>
        <v>CONSORCIO VIAL PUTUMAYO</v>
      </c>
      <c r="E34" s="146" t="str">
        <f>VLOOKUP(C34,FORMULA!$C$44:$H$64,3,0)</f>
        <v>DESCARTADO</v>
      </c>
      <c r="F34" s="229" t="str">
        <f>VLOOKUP(C34,FORMULA!$C$44:$H$64,5,0)</f>
        <v>DESCARTADO</v>
      </c>
      <c r="G34" s="207" t="str">
        <f>VLOOKUP(C34,FORMULA!$C$44:$H$64,6,0)</f>
        <v>DESCARTADO</v>
      </c>
      <c r="H34" s="147">
        <f>VLOOKUP($C34,RESUMEN!$C$15:$I$35,4,FALSE)</f>
        <v>0</v>
      </c>
      <c r="I34" s="147">
        <f>VLOOKUP($C34,RESUMEN!$C$15:$I$35,5,FALSE)</f>
        <v>100</v>
      </c>
      <c r="J34" s="147">
        <f>VLOOKUP($C34,RESUMEN!$C$15:$I$35,6,FALSE)</f>
        <v>0</v>
      </c>
      <c r="K34" s="252">
        <f t="shared" si="5"/>
        <v>-2.7999999999999998E-9</v>
      </c>
      <c r="L34" s="148">
        <v>2.7999999999999998E-9</v>
      </c>
      <c r="M34" s="192">
        <f t="shared" si="0"/>
        <v>26</v>
      </c>
      <c r="O34" s="73">
        <f t="shared" si="1"/>
        <v>21</v>
      </c>
      <c r="P34" s="156">
        <f t="shared" si="6"/>
        <v>19</v>
      </c>
      <c r="Q34" s="157" t="str">
        <f t="shared" ca="1" si="2"/>
        <v>CONSORCIO PROYECTO 1</v>
      </c>
      <c r="R34" s="193">
        <f t="shared" ca="1" si="3"/>
        <v>16</v>
      </c>
      <c r="S34" s="205">
        <f t="shared" ca="1" si="4"/>
        <v>-2.1000000000000002E-9</v>
      </c>
    </row>
    <row r="35" spans="2:19" ht="18" x14ac:dyDescent="0.2">
      <c r="B35" s="144">
        <v>20</v>
      </c>
      <c r="C35" s="145">
        <f>RESUMEN!C34</f>
        <v>27</v>
      </c>
      <c r="D35" s="111" t="str">
        <f>VLOOKUP(C35,RESUMEN!$C$15:$D$35,2,0)</f>
        <v>UNION TEMPORAL PAVIMENTOS ARIZONA</v>
      </c>
      <c r="E35" s="146">
        <f>VLOOKUP(C35,FORMULA!$C$44:$H$64,3,0)</f>
        <v>3629736406</v>
      </c>
      <c r="F35" s="229">
        <f>VLOOKUP(C35,FORMULA!$C$44:$H$64,5,0)</f>
        <v>-2.458110719748885E-3</v>
      </c>
      <c r="G35" s="207">
        <f>VLOOKUP(C35,FORMULA!$C$44:$H$64,6,0)</f>
        <v>895.3765985792046</v>
      </c>
      <c r="H35" s="147">
        <f>VLOOKUP($C35,RESUMEN!$C$15:$I$35,4,FALSE)</f>
        <v>0</v>
      </c>
      <c r="I35" s="147">
        <f>VLOOKUP($C35,RESUMEN!$C$15:$I$35,5,FALSE)</f>
        <v>100</v>
      </c>
      <c r="J35" s="147">
        <f>VLOOKUP($C35,RESUMEN!$C$15:$I$35,6,FALSE)</f>
        <v>0</v>
      </c>
      <c r="K35" s="252">
        <f t="shared" si="5"/>
        <v>995.37659857630456</v>
      </c>
      <c r="L35" s="148">
        <v>2.8999999999999999E-9</v>
      </c>
      <c r="M35" s="192">
        <f t="shared" si="0"/>
        <v>27</v>
      </c>
      <c r="O35" s="73">
        <f t="shared" si="1"/>
        <v>5</v>
      </c>
      <c r="P35" s="156">
        <f t="shared" si="6"/>
        <v>20</v>
      </c>
      <c r="Q35" s="157" t="str">
        <f t="shared" ca="1" si="2"/>
        <v>CONSORCIO MANZANARES</v>
      </c>
      <c r="R35" s="193">
        <f t="shared" ca="1" si="3"/>
        <v>22</v>
      </c>
      <c r="S35" s="205">
        <f t="shared" ca="1" si="4"/>
        <v>-2.4E-9</v>
      </c>
    </row>
    <row r="36" spans="2:19" ht="22.5" x14ac:dyDescent="0.2">
      <c r="B36" s="144">
        <v>21</v>
      </c>
      <c r="C36" s="145">
        <f>RESUMEN!C35</f>
        <v>28</v>
      </c>
      <c r="D36" s="111" t="str">
        <f>VLOOKUP(C36,RESUMEN!$C$15:$D$35,2,0)</f>
        <v>OBRAS CIVILES Y EQUIPOS SAS – OCIEQUIPOS SAS</v>
      </c>
      <c r="E36" s="146">
        <f>VLOOKUP(C36,FORMULA!$C$44:$H$64,3,0)</f>
        <v>3579999345</v>
      </c>
      <c r="F36" s="229">
        <f>VLOOKUP(C36,FORMULA!$C$44:$H$64,5,0)</f>
        <v>-1.6127092774526619E-2</v>
      </c>
      <c r="G36" s="207">
        <f>VLOOKUP(C36,FORMULA!$C$44:$H$64,6,0)</f>
        <v>889.94762600098841</v>
      </c>
      <c r="H36" s="147">
        <f>VLOOKUP($C36,RESUMEN!$C$15:$I$35,4,FALSE)</f>
        <v>0</v>
      </c>
      <c r="I36" s="147">
        <f>VLOOKUP($C36,RESUMEN!$C$15:$I$35,5,FALSE)</f>
        <v>100</v>
      </c>
      <c r="J36" s="147">
        <f>VLOOKUP($C36,RESUMEN!$C$15:$I$35,6,FALSE)</f>
        <v>0</v>
      </c>
      <c r="K36" s="252">
        <f t="shared" si="5"/>
        <v>989.94762599798844</v>
      </c>
      <c r="L36" s="148">
        <v>3E-9</v>
      </c>
      <c r="M36" s="192">
        <f t="shared" si="0"/>
        <v>28</v>
      </c>
      <c r="O36" s="73">
        <f t="shared" si="1"/>
        <v>11</v>
      </c>
      <c r="P36" s="156">
        <f t="shared" si="6"/>
        <v>21</v>
      </c>
      <c r="Q36" s="157" t="str">
        <f t="shared" ca="1" si="2"/>
        <v>CONSORCIO VIAL PUTUMAYO</v>
      </c>
      <c r="R36" s="193">
        <f t="shared" ca="1" si="3"/>
        <v>26</v>
      </c>
      <c r="S36" s="205">
        <f t="shared" ca="1" si="4"/>
        <v>-2.7999999999999998E-9</v>
      </c>
    </row>
    <row r="37" spans="2:19" ht="4.5" customHeight="1" thickBot="1" x14ac:dyDescent="0.3">
      <c r="B37" s="138"/>
      <c r="C37" s="139"/>
      <c r="D37" s="140"/>
      <c r="E37" s="140"/>
      <c r="F37" s="141"/>
      <c r="G37" s="142"/>
      <c r="H37" s="142"/>
      <c r="I37" s="142"/>
      <c r="J37" s="142"/>
      <c r="K37" s="149"/>
      <c r="L37" s="143"/>
      <c r="M37" s="192">
        <f t="shared" ref="M37" si="7">C37</f>
        <v>0</v>
      </c>
      <c r="P37" s="153"/>
      <c r="Q37" s="241"/>
      <c r="R37" s="154"/>
      <c r="S37" s="155"/>
    </row>
    <row r="38" spans="2:19" ht="7.5" customHeight="1" thickTop="1" x14ac:dyDescent="0.2">
      <c r="B38" s="126"/>
      <c r="C38" s="126"/>
      <c r="D38" s="127"/>
      <c r="E38" s="127"/>
      <c r="F38" s="128"/>
      <c r="G38" s="129"/>
      <c r="H38" s="129"/>
      <c r="I38" s="129"/>
      <c r="J38" s="129"/>
      <c r="K38" s="130"/>
      <c r="L38" s="131"/>
    </row>
    <row r="39" spans="2:19" x14ac:dyDescent="0.2">
      <c r="P39" s="436" t="str">
        <f ca="1">IF(P13="DESCARTADO","MODULO DESIERTO","")</f>
        <v/>
      </c>
      <c r="Q39" s="436"/>
      <c r="R39" s="436"/>
      <c r="S39" s="436"/>
    </row>
    <row r="40" spans="2:19" x14ac:dyDescent="0.2">
      <c r="L40" s="435"/>
      <c r="M40" s="435"/>
      <c r="P40" s="436"/>
      <c r="Q40" s="436"/>
      <c r="R40" s="436"/>
      <c r="S40" s="436"/>
    </row>
  </sheetData>
  <sheetProtection selectLockedCells="1"/>
  <mergeCells count="28">
    <mergeCell ref="D12:D14"/>
    <mergeCell ref="C12:C14"/>
    <mergeCell ref="B12:B14"/>
    <mergeCell ref="L40:M40"/>
    <mergeCell ref="P39:S40"/>
    <mergeCell ref="O11:O14"/>
    <mergeCell ref="P12:S12"/>
    <mergeCell ref="P13:S13"/>
    <mergeCell ref="L12:L14"/>
    <mergeCell ref="G12:J12"/>
    <mergeCell ref="K12:K13"/>
    <mergeCell ref="F12:F13"/>
    <mergeCell ref="E12:E13"/>
    <mergeCell ref="B7:K7"/>
    <mergeCell ref="B9:K9"/>
    <mergeCell ref="B10:K10"/>
    <mergeCell ref="P1:S1"/>
    <mergeCell ref="P2:S2"/>
    <mergeCell ref="P3:S3"/>
    <mergeCell ref="P4:S4"/>
    <mergeCell ref="P5:S5"/>
    <mergeCell ref="P7:S7"/>
    <mergeCell ref="P10:S10"/>
    <mergeCell ref="B1:K1"/>
    <mergeCell ref="B2:K2"/>
    <mergeCell ref="B3:K3"/>
    <mergeCell ref="B4:K4"/>
    <mergeCell ref="B5:K5"/>
  </mergeCells>
  <phoneticPr fontId="4" type="noConversion"/>
  <conditionalFormatting sqref="G16:K36">
    <cfRule type="cellIs" dxfId="5" priority="22" stopIfTrue="1" operator="greaterThan">
      <formula>0</formula>
    </cfRule>
    <cfRule type="cellIs" dxfId="4" priority="23" stopIfTrue="1" operator="equal">
      <formula>0</formula>
    </cfRule>
  </conditionalFormatting>
  <conditionalFormatting sqref="L18 L20 B22:C22 B28:C28 B34:C34 K16:L16 B16:E16 L24 L30 L36 L26 L32 L22 L28 L34 D17:E36 K17:K36 O16:S16 O17:P36 R17:S36 F16:J36 Q17:Q37">
    <cfRule type="expression" dxfId="3" priority="30" stopIfTrue="1">
      <formula>MOD(ROW(),2)</formula>
    </cfRule>
  </conditionalFormatting>
  <conditionalFormatting sqref="E17:E36 F16:G36">
    <cfRule type="cellIs" dxfId="2" priority="21" stopIfTrue="1" operator="equal">
      <formula>"DESCARTADO"</formula>
    </cfRule>
  </conditionalFormatting>
  <conditionalFormatting sqref="B17:C21 L17 L19 L21 B23:C27 B29:C33 B35:C36 L23 L29 L35 L25 L31 L27 L33">
    <cfRule type="expression" dxfId="1" priority="25" stopIfTrue="1">
      <formula>MOD(ROW(),2)</formula>
    </cfRule>
  </conditionalFormatting>
  <conditionalFormatting sqref="E16">
    <cfRule type="cellIs" dxfId="0" priority="5" stopIfTrue="1" operator="equal">
      <formula>"DESCARTADO"</formula>
    </cfRule>
  </conditionalFormatting>
  <printOptions horizontalCentered="1"/>
  <pageMargins left="0.23622047244094491" right="0.23622047244094491" top="0.74803149606299213" bottom="0.74803149606299213" header="0.31496062992125984" footer="0.31496062992125984"/>
  <pageSetup scale="55" fitToWidth="0" fitToHeight="0" orientation="portrait" horizontalDpi="1200" verticalDpi="1200" r:id="rId1"/>
  <headerFooter alignWithMargins="0">
    <oddFooter>&amp;L&amp;9&amp;F&amp;A&amp;C&amp;P de &amp;N&amp;R&amp;9INSTITUTO NACIONAL DE VIAS&amp;D</oddFooter>
  </headerFooter>
  <rowBreaks count="1" manualBreakCount="1">
    <brk id="37" min="1" max="18" man="1"/>
  </rowBreaks>
  <colBreaks count="1" manualBreakCount="1">
    <brk id="13" max="1048575" man="1"/>
  </colBreaks>
  <ignoredErrors>
    <ignoredError sqref="H1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workbookViewId="0">
      <selection activeCell="D28" sqref="D2:D28"/>
    </sheetView>
  </sheetViews>
  <sheetFormatPr baseColWidth="10" defaultColWidth="10.85546875" defaultRowHeight="12.75" x14ac:dyDescent="0.2"/>
  <cols>
    <col min="1" max="1" width="10.85546875" style="226"/>
    <col min="2" max="2" width="12.7109375" style="324" bestFit="1" customWidth="1"/>
    <col min="3" max="3" width="2.5703125" style="226" customWidth="1"/>
    <col min="4" max="4" width="12.7109375" style="324" bestFit="1" customWidth="1"/>
    <col min="5" max="5" width="2.5703125" style="226" customWidth="1"/>
    <col min="6" max="6" width="12.42578125" style="226" bestFit="1" customWidth="1"/>
    <col min="7" max="16384" width="10.85546875" style="226"/>
  </cols>
  <sheetData>
    <row r="2" spans="2:6" x14ac:dyDescent="0.2">
      <c r="B2" s="324">
        <v>1803165.68</v>
      </c>
      <c r="D2" s="324">
        <v>1803165.68</v>
      </c>
      <c r="F2" s="226" t="str">
        <f>IF(OR(B2="",D2=""),"",IF(B2&lt;&gt;D2,"DIFERENCIA","VALORES OK"))</f>
        <v>VALORES OK</v>
      </c>
    </row>
    <row r="3" spans="2:6" x14ac:dyDescent="0.2">
      <c r="B3" s="324">
        <v>9558.5400000000009</v>
      </c>
      <c r="D3" s="324">
        <v>9558.5400000000009</v>
      </c>
      <c r="F3" s="226" t="str">
        <f t="shared" ref="F3:F28" si="0">IF(OR(B3="",D3=""),"",IF(B3&lt;&gt;D3,"DIFERENCIA","VALORES OK"))</f>
        <v>VALORES OK</v>
      </c>
    </row>
    <row r="4" spans="2:6" x14ac:dyDescent="0.2">
      <c r="B4" s="324">
        <v>6289.28</v>
      </c>
      <c r="D4" s="324">
        <v>6289.28</v>
      </c>
      <c r="F4" s="226" t="str">
        <f t="shared" si="0"/>
        <v>VALORES OK</v>
      </c>
    </row>
    <row r="5" spans="2:6" x14ac:dyDescent="0.2">
      <c r="F5" s="226" t="str">
        <f t="shared" si="0"/>
        <v/>
      </c>
    </row>
    <row r="6" spans="2:6" x14ac:dyDescent="0.2">
      <c r="B6" s="324">
        <v>1892.35</v>
      </c>
      <c r="D6" s="324">
        <v>1892.35</v>
      </c>
      <c r="F6" s="226" t="str">
        <f t="shared" si="0"/>
        <v>VALORES OK</v>
      </c>
    </row>
    <row r="7" spans="2:6" x14ac:dyDescent="0.2">
      <c r="B7" s="324">
        <v>100939.36</v>
      </c>
      <c r="D7" s="324">
        <v>100939.36</v>
      </c>
      <c r="F7" s="226" t="str">
        <f t="shared" si="0"/>
        <v>VALORES OK</v>
      </c>
    </row>
    <row r="8" spans="2:6" x14ac:dyDescent="0.2">
      <c r="B8" s="324">
        <v>153116.88</v>
      </c>
      <c r="D8" s="324">
        <v>153116.88</v>
      </c>
      <c r="F8" s="226" t="str">
        <f t="shared" si="0"/>
        <v>VALORES OK</v>
      </c>
    </row>
    <row r="9" spans="2:6" x14ac:dyDescent="0.2">
      <c r="F9" s="226" t="str">
        <f t="shared" si="0"/>
        <v/>
      </c>
    </row>
    <row r="10" spans="2:6" x14ac:dyDescent="0.2">
      <c r="B10" s="324">
        <v>116951.07</v>
      </c>
      <c r="D10" s="324">
        <v>116951.07</v>
      </c>
      <c r="F10" s="226" t="str">
        <f t="shared" si="0"/>
        <v>VALORES OK</v>
      </c>
    </row>
    <row r="11" spans="2:6" x14ac:dyDescent="0.2">
      <c r="B11" s="324">
        <v>86296.28</v>
      </c>
      <c r="D11" s="324">
        <v>86296.28</v>
      </c>
      <c r="F11" s="226" t="str">
        <f t="shared" si="0"/>
        <v>VALORES OK</v>
      </c>
    </row>
    <row r="12" spans="2:6" x14ac:dyDescent="0.2">
      <c r="B12" s="324">
        <v>57735.28</v>
      </c>
      <c r="D12" s="324">
        <v>57735.28</v>
      </c>
      <c r="F12" s="226" t="str">
        <f t="shared" si="0"/>
        <v>VALORES OK</v>
      </c>
    </row>
    <row r="13" spans="2:6" x14ac:dyDescent="0.2">
      <c r="F13" s="226" t="str">
        <f t="shared" si="0"/>
        <v/>
      </c>
    </row>
    <row r="14" spans="2:6" x14ac:dyDescent="0.2">
      <c r="B14" s="324">
        <v>45472.91</v>
      </c>
      <c r="D14" s="324">
        <v>45472.91</v>
      </c>
      <c r="F14" s="226" t="str">
        <f t="shared" si="0"/>
        <v>VALORES OK</v>
      </c>
    </row>
    <row r="15" spans="2:6" x14ac:dyDescent="0.2">
      <c r="B15" s="324">
        <v>17435.95</v>
      </c>
      <c r="D15" s="324">
        <v>17435.95</v>
      </c>
      <c r="F15" s="226" t="str">
        <f t="shared" si="0"/>
        <v>VALORES OK</v>
      </c>
    </row>
    <row r="16" spans="2:6" x14ac:dyDescent="0.2">
      <c r="B16" s="324">
        <v>56697.53</v>
      </c>
      <c r="D16" s="324">
        <v>56697.53</v>
      </c>
      <c r="F16" s="226" t="str">
        <f t="shared" si="0"/>
        <v>VALORES OK</v>
      </c>
    </row>
    <row r="17" spans="2:6" x14ac:dyDescent="0.2">
      <c r="B17" s="324">
        <v>65418.55</v>
      </c>
      <c r="D17" s="324">
        <v>65418.55</v>
      </c>
      <c r="F17" s="226" t="str">
        <f t="shared" si="0"/>
        <v>VALORES OK</v>
      </c>
    </row>
    <row r="18" spans="2:6" x14ac:dyDescent="0.2">
      <c r="B18" s="324">
        <v>574238.22</v>
      </c>
      <c r="D18" s="324">
        <v>574238.22</v>
      </c>
      <c r="F18" s="226" t="str">
        <f t="shared" si="0"/>
        <v>VALORES OK</v>
      </c>
    </row>
    <row r="19" spans="2:6" x14ac:dyDescent="0.2">
      <c r="B19" s="324">
        <v>4931.1000000000004</v>
      </c>
      <c r="D19" s="324">
        <v>4931.1000000000004</v>
      </c>
      <c r="F19" s="226" t="str">
        <f t="shared" si="0"/>
        <v>VALORES OK</v>
      </c>
    </row>
    <row r="20" spans="2:6" x14ac:dyDescent="0.2">
      <c r="B20" s="324">
        <v>2213.42</v>
      </c>
      <c r="D20" s="324">
        <v>2213.42</v>
      </c>
      <c r="F20" s="226" t="str">
        <f t="shared" si="0"/>
        <v>VALORES OK</v>
      </c>
    </row>
    <row r="21" spans="2:6" x14ac:dyDescent="0.2">
      <c r="B21" s="324">
        <v>2047.26</v>
      </c>
      <c r="D21" s="324">
        <v>2047.26</v>
      </c>
      <c r="F21" s="226" t="str">
        <f t="shared" si="0"/>
        <v>VALORES OK</v>
      </c>
    </row>
    <row r="22" spans="2:6" x14ac:dyDescent="0.2">
      <c r="B22" s="324">
        <v>525405.63</v>
      </c>
      <c r="D22" s="324">
        <v>525405.63</v>
      </c>
      <c r="F22" s="226" t="str">
        <f t="shared" si="0"/>
        <v>VALORES OK</v>
      </c>
    </row>
    <row r="23" spans="2:6" x14ac:dyDescent="0.2">
      <c r="B23" s="324">
        <v>563674.43999999994</v>
      </c>
      <c r="D23" s="324">
        <v>563674.43999999994</v>
      </c>
      <c r="F23" s="226" t="str">
        <f t="shared" si="0"/>
        <v>VALORES OK</v>
      </c>
    </row>
    <row r="24" spans="2:6" x14ac:dyDescent="0.2">
      <c r="F24" s="226" t="str">
        <f t="shared" si="0"/>
        <v/>
      </c>
    </row>
    <row r="25" spans="2:6" x14ac:dyDescent="0.2">
      <c r="B25" s="324">
        <v>391061.27</v>
      </c>
      <c r="D25" s="324">
        <v>391061.27</v>
      </c>
      <c r="F25" s="226" t="str">
        <f t="shared" si="0"/>
        <v>VALORES OK</v>
      </c>
    </row>
    <row r="26" spans="2:6" x14ac:dyDescent="0.2">
      <c r="B26" s="324">
        <v>257469.74</v>
      </c>
      <c r="D26" s="324">
        <v>257469.74</v>
      </c>
      <c r="F26" s="226" t="str">
        <f t="shared" si="0"/>
        <v>VALORES OK</v>
      </c>
    </row>
    <row r="27" spans="2:6" x14ac:dyDescent="0.2">
      <c r="F27" s="226" t="str">
        <f t="shared" si="0"/>
        <v/>
      </c>
    </row>
    <row r="28" spans="2:6" x14ac:dyDescent="0.2">
      <c r="B28" s="324">
        <v>1086.8</v>
      </c>
      <c r="D28" s="324">
        <v>1086.8</v>
      </c>
      <c r="F28" s="226" t="str">
        <f t="shared" si="0"/>
        <v>VALORES OK</v>
      </c>
    </row>
    <row r="30" spans="2:6" x14ac:dyDescent="0.2">
      <c r="F30" s="325" t="str">
        <f>IF(COUNTIF(F2:F28,"VALORES OK")&lt;&gt;22,"ERROR","OK")</f>
        <v>OK</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17"/>
  <sheetViews>
    <sheetView workbookViewId="0">
      <selection activeCell="D5" sqref="D5"/>
    </sheetView>
  </sheetViews>
  <sheetFormatPr baseColWidth="10" defaultColWidth="11.42578125" defaultRowHeight="12.75" x14ac:dyDescent="0.2"/>
  <cols>
    <col min="1" max="1" width="11.42578125" style="226"/>
    <col min="2" max="2" width="85.7109375" style="226" bestFit="1" customWidth="1"/>
    <col min="3" max="3" width="14.140625" style="226" bestFit="1" customWidth="1"/>
    <col min="4" max="4" width="47.42578125" style="226" bestFit="1" customWidth="1"/>
    <col min="5" max="16384" width="11.42578125" style="226"/>
  </cols>
  <sheetData>
    <row r="1" spans="1:4" ht="15.75" thickTop="1" x14ac:dyDescent="0.2">
      <c r="A1" s="296" t="s">
        <v>21</v>
      </c>
      <c r="B1" s="297" t="s">
        <v>20</v>
      </c>
      <c r="C1" s="297" t="s">
        <v>28</v>
      </c>
      <c r="D1" s="298" t="s">
        <v>87</v>
      </c>
    </row>
    <row r="2" spans="1:4" x14ac:dyDescent="0.2">
      <c r="A2" s="62">
        <v>1</v>
      </c>
      <c r="B2" s="70"/>
      <c r="C2" s="74" t="s">
        <v>9</v>
      </c>
      <c r="D2" s="74" t="s">
        <v>88</v>
      </c>
    </row>
    <row r="3" spans="1:4" x14ac:dyDescent="0.2">
      <c r="A3" s="63">
        <v>2</v>
      </c>
      <c r="B3" s="64"/>
      <c r="C3" s="75" t="s">
        <v>8</v>
      </c>
      <c r="D3" s="75" t="s">
        <v>89</v>
      </c>
    </row>
    <row r="4" spans="1:4" ht="13.5" thickBot="1" x14ac:dyDescent="0.25">
      <c r="A4" s="62">
        <v>3</v>
      </c>
      <c r="B4" s="64"/>
      <c r="C4" s="76" t="s">
        <v>13</v>
      </c>
      <c r="D4" s="75" t="s">
        <v>192</v>
      </c>
    </row>
    <row r="5" spans="1:4" ht="13.5" thickTop="1" x14ac:dyDescent="0.2">
      <c r="A5" s="63">
        <v>4</v>
      </c>
      <c r="B5" s="64"/>
      <c r="D5" s="204" t="s">
        <v>90</v>
      </c>
    </row>
    <row r="6" spans="1:4" ht="13.5" thickBot="1" x14ac:dyDescent="0.25">
      <c r="A6" s="62">
        <v>5</v>
      </c>
      <c r="B6" s="64"/>
      <c r="D6" s="76"/>
    </row>
    <row r="7" spans="1:4" ht="13.5" thickTop="1" x14ac:dyDescent="0.2">
      <c r="A7" s="63">
        <v>6</v>
      </c>
      <c r="B7" s="64"/>
    </row>
    <row r="8" spans="1:4" x14ac:dyDescent="0.2">
      <c r="A8" s="62">
        <v>7</v>
      </c>
      <c r="B8" s="64"/>
    </row>
    <row r="9" spans="1:4" x14ac:dyDescent="0.2">
      <c r="A9" s="63">
        <v>8</v>
      </c>
      <c r="B9" s="64"/>
    </row>
    <row r="10" spans="1:4" x14ac:dyDescent="0.2">
      <c r="A10" s="67">
        <v>9</v>
      </c>
      <c r="B10" s="68"/>
    </row>
    <row r="11" spans="1:4" x14ac:dyDescent="0.2">
      <c r="A11" s="67">
        <v>10</v>
      </c>
      <c r="B11" s="69"/>
    </row>
    <row r="12" spans="1:4" x14ac:dyDescent="0.2">
      <c r="A12" s="67">
        <v>11</v>
      </c>
      <c r="B12" s="69"/>
    </row>
    <row r="13" spans="1:4" x14ac:dyDescent="0.2">
      <c r="A13" s="67">
        <v>12</v>
      </c>
      <c r="B13" s="68"/>
    </row>
    <row r="14" spans="1:4" x14ac:dyDescent="0.2">
      <c r="A14" s="67">
        <v>13</v>
      </c>
      <c r="B14" s="68"/>
    </row>
    <row r="15" spans="1:4" x14ac:dyDescent="0.2">
      <c r="A15" s="67">
        <v>14</v>
      </c>
      <c r="B15" s="68"/>
    </row>
    <row r="16" spans="1:4" ht="13.5" thickBot="1" x14ac:dyDescent="0.25">
      <c r="A16" s="65">
        <v>15</v>
      </c>
      <c r="B16" s="66"/>
    </row>
    <row r="17" ht="13.5" thickTop="1"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RESUMEN</vt:lpstr>
      <vt:lpstr>VR-PROP</vt:lpstr>
      <vt:lpstr>FORMULA</vt:lpstr>
      <vt:lpstr>ELEGIBILIDAD</vt:lpstr>
      <vt:lpstr>1</vt:lpstr>
      <vt:lpstr>ELEGIBILIDAD!Área_de_impresión</vt:lpstr>
      <vt:lpstr>RESUMEN!Área_de_impresión</vt:lpstr>
      <vt:lpstr>'VR-PROP'!Área_de_impresión</vt:lpstr>
      <vt:lpstr>DEPENDENCIAS</vt:lpstr>
      <vt:lpstr>METEVA</vt:lpstr>
      <vt:lpstr>RESULTADO</vt:lpstr>
      <vt:lpstr>ELEGIBILIDAD!Títulos_a_imprimir</vt:lpstr>
      <vt:lpstr>FORMULA!Títulos_a_imprimir</vt:lpstr>
      <vt:lpstr>'VR-PROP'!Títulos_a_imprimir</vt:lpstr>
    </vt:vector>
  </TitlesOfParts>
  <Company>INSTITUTO NACIONAL DE VIAS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 2018</dc:creator>
  <cp:lastModifiedBy>Ruby Mercedes Perez Perez</cp:lastModifiedBy>
  <cp:lastPrinted>2012-04-17T13:34:03Z</cp:lastPrinted>
  <dcterms:created xsi:type="dcterms:W3CDTF">2003-08-04T15:33:07Z</dcterms:created>
  <dcterms:modified xsi:type="dcterms:W3CDTF">2018-12-20T05:28:19Z</dcterms:modified>
</cp:coreProperties>
</file>