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e_wgarcia\Downloads\"/>
    </mc:Choice>
  </mc:AlternateContent>
  <bookViews>
    <workbookView xWindow="0" yWindow="0" windowWidth="20490" windowHeight="7650" activeTab="3"/>
  </bookViews>
  <sheets>
    <sheet name="RESUMEN" sheetId="13" r:id="rId1"/>
    <sheet name="VR-PROP" sheetId="15" r:id="rId2"/>
    <sheet name="FORMULA" sheetId="107" r:id="rId3"/>
    <sheet name="ELEGIBILIDAD" sheetId="10" r:id="rId4"/>
    <sheet name="Listas" sheetId="106" state="veryHidden" r:id="rId5"/>
  </sheets>
  <definedNames>
    <definedName name="_xlnm._FilterDatabase" localSheetId="1" hidden="1">'VR-PROP'!$I$61:$K$65</definedName>
    <definedName name="_xlnm.Print_Area" localSheetId="3">ELEGIBILIDAD!$A$1:$T$34</definedName>
    <definedName name="_xlnm.Print_Area" localSheetId="0">RESUMEN!$B$1:$I$38</definedName>
    <definedName name="_xlnm.Print_Area" localSheetId="1">'VR-PROP'!$B$1:$K$65</definedName>
    <definedName name="DEPENDENCIAS">Listas!$B$2:$B$16</definedName>
    <definedName name="METEVA">Listas!$D$2:$D$5</definedName>
    <definedName name="RESULTADO">Listas!$C$2:$C$4</definedName>
    <definedName name="_xlnm.Print_Titles" localSheetId="3">ELEGIBILIDAD!$1:$15</definedName>
    <definedName name="_xlnm.Print_Titles" localSheetId="2">FORMULA!$1:$11</definedName>
    <definedName name="_xlnm.Print_Titles" localSheetId="1">'VR-PROP'!$B:$H</definedName>
  </definedNames>
  <calcPr calcId="162913"/>
</workbook>
</file>

<file path=xl/calcChain.xml><?xml version="1.0" encoding="utf-8"?>
<calcChain xmlns="http://schemas.openxmlformats.org/spreadsheetml/2006/main">
  <c r="BC34" i="15" l="1"/>
  <c r="BC35" i="15"/>
  <c r="BC18" i="15"/>
  <c r="S35" i="15" l="1"/>
  <c r="S34" i="15"/>
  <c r="S18" i="15"/>
  <c r="M35" i="15"/>
  <c r="M34" i="15"/>
  <c r="M18" i="15"/>
  <c r="J18" i="15"/>
  <c r="J35" i="15"/>
  <c r="J34" i="15"/>
  <c r="BL35" i="15"/>
  <c r="BL34" i="15"/>
  <c r="BL18" i="15"/>
  <c r="BI35" i="15"/>
  <c r="BI34" i="15"/>
  <c r="BI18" i="15"/>
  <c r="BF35" i="15"/>
  <c r="BF34" i="15"/>
  <c r="BF18" i="15"/>
  <c r="AZ35" i="15"/>
  <c r="AZ34" i="15"/>
  <c r="AZ18" i="15"/>
  <c r="AT34" i="15"/>
  <c r="AT35" i="15"/>
  <c r="AT18" i="15"/>
  <c r="AB58" i="15"/>
  <c r="AH35" i="15"/>
  <c r="AH34" i="15"/>
  <c r="AH18" i="15"/>
  <c r="AB35" i="15"/>
  <c r="AB34" i="15"/>
  <c r="AB21" i="15"/>
  <c r="AB18" i="15"/>
  <c r="Y35" i="15"/>
  <c r="Y18" i="15"/>
  <c r="Y34" i="15"/>
  <c r="BL58" i="15" l="1"/>
  <c r="BI58" i="15"/>
  <c r="BF58" i="15"/>
  <c r="BC58" i="15"/>
  <c r="AZ58" i="15"/>
  <c r="AW58" i="15"/>
  <c r="AX58" i="15" s="1"/>
  <c r="AT58" i="15"/>
  <c r="AQ58" i="15"/>
  <c r="AR58" i="15" s="1"/>
  <c r="AN58" i="15"/>
  <c r="AO58" i="15" s="1"/>
  <c r="AK58" i="15"/>
  <c r="AL58" i="15" s="1"/>
  <c r="AH58" i="15"/>
  <c r="AE58" i="15"/>
  <c r="AF58" i="15" s="1"/>
  <c r="Y58" i="15"/>
  <c r="V58" i="15"/>
  <c r="W58" i="15" s="1"/>
  <c r="S58" i="15"/>
  <c r="P58" i="15"/>
  <c r="Q58" i="15" s="1"/>
  <c r="M58" i="15"/>
  <c r="BM57" i="15"/>
  <c r="BJ57" i="15"/>
  <c r="BG57" i="15"/>
  <c r="BD57" i="15"/>
  <c r="BA57" i="15"/>
  <c r="AX57" i="15"/>
  <c r="AU57" i="15"/>
  <c r="AR57" i="15"/>
  <c r="AO57" i="15"/>
  <c r="AL57" i="15"/>
  <c r="AI57" i="15"/>
  <c r="AF57" i="15"/>
  <c r="AC57" i="15"/>
  <c r="Z57" i="15"/>
  <c r="W57" i="15"/>
  <c r="T57" i="15"/>
  <c r="Q57" i="15"/>
  <c r="N57" i="15"/>
  <c r="BM56" i="15"/>
  <c r="BJ56" i="15"/>
  <c r="BG56" i="15"/>
  <c r="BD56" i="15"/>
  <c r="BA56" i="15"/>
  <c r="AX56" i="15"/>
  <c r="AU56" i="15"/>
  <c r="AR56" i="15"/>
  <c r="AO56" i="15"/>
  <c r="AL56" i="15"/>
  <c r="AI56" i="15"/>
  <c r="AF56" i="15"/>
  <c r="AC56" i="15"/>
  <c r="Z56" i="15"/>
  <c r="W56" i="15"/>
  <c r="T56" i="15"/>
  <c r="Q56" i="15"/>
  <c r="N56" i="15"/>
  <c r="BM55" i="15"/>
  <c r="BJ55" i="15"/>
  <c r="BG55" i="15"/>
  <c r="BD55" i="15"/>
  <c r="BA55" i="15"/>
  <c r="AX55" i="15"/>
  <c r="AU55" i="15"/>
  <c r="AR55" i="15"/>
  <c r="AO55" i="15"/>
  <c r="AL55" i="15"/>
  <c r="AI55" i="15"/>
  <c r="AF55" i="15"/>
  <c r="AC55" i="15"/>
  <c r="Z55" i="15"/>
  <c r="W55" i="15"/>
  <c r="T55" i="15"/>
  <c r="Q55" i="15"/>
  <c r="N55" i="15"/>
  <c r="BM54" i="15"/>
  <c r="BJ54" i="15"/>
  <c r="BG54" i="15"/>
  <c r="BD54" i="15"/>
  <c r="BA54" i="15"/>
  <c r="AX54" i="15"/>
  <c r="AU54" i="15"/>
  <c r="AR54" i="15"/>
  <c r="AO54" i="15"/>
  <c r="AL54" i="15"/>
  <c r="AI54" i="15"/>
  <c r="AF54" i="15"/>
  <c r="AC54" i="15"/>
  <c r="Z54" i="15"/>
  <c r="W54" i="15"/>
  <c r="T54" i="15"/>
  <c r="Q54" i="15"/>
  <c r="N54" i="15"/>
  <c r="BK50" i="15"/>
  <c r="BH50" i="15"/>
  <c r="BE50" i="15"/>
  <c r="BB50" i="15"/>
  <c r="AY50" i="15"/>
  <c r="AV50" i="15"/>
  <c r="AS50" i="15"/>
  <c r="AP50" i="15"/>
  <c r="AM50" i="15"/>
  <c r="AJ50" i="15"/>
  <c r="AG50" i="15"/>
  <c r="AD50" i="15"/>
  <c r="AA50" i="15"/>
  <c r="X50" i="15"/>
  <c r="U50" i="15"/>
  <c r="R50" i="15"/>
  <c r="O50" i="15"/>
  <c r="L50" i="15"/>
  <c r="BM46" i="15"/>
  <c r="BL46" i="15"/>
  <c r="BJ46" i="15"/>
  <c r="BI46" i="15"/>
  <c r="BG46" i="15"/>
  <c r="BF46" i="15"/>
  <c r="BD46" i="15"/>
  <c r="BC46" i="15"/>
  <c r="BA46" i="15"/>
  <c r="AZ46" i="15"/>
  <c r="AX46" i="15"/>
  <c r="AW46" i="15"/>
  <c r="AU46" i="15"/>
  <c r="AT46" i="15"/>
  <c r="AR46" i="15"/>
  <c r="AQ46" i="15"/>
  <c r="AO46" i="15"/>
  <c r="AN46" i="15"/>
  <c r="AL46" i="15"/>
  <c r="AK46" i="15"/>
  <c r="AI46" i="15"/>
  <c r="AH46" i="15"/>
  <c r="AF46" i="15"/>
  <c r="AE46" i="15"/>
  <c r="AC46" i="15"/>
  <c r="AB46" i="15"/>
  <c r="Z46" i="15"/>
  <c r="Y46" i="15"/>
  <c r="W46" i="15"/>
  <c r="V46" i="15"/>
  <c r="T46" i="15"/>
  <c r="S46" i="15"/>
  <c r="Q46" i="15"/>
  <c r="P46" i="15"/>
  <c r="N46" i="15"/>
  <c r="M46" i="15"/>
  <c r="BM45" i="15"/>
  <c r="BL45" i="15"/>
  <c r="BJ45" i="15"/>
  <c r="BI45" i="15"/>
  <c r="BG45" i="15"/>
  <c r="BF45" i="15"/>
  <c r="BD45" i="15"/>
  <c r="BC45" i="15"/>
  <c r="BA45" i="15"/>
  <c r="AZ45" i="15"/>
  <c r="AX45" i="15"/>
  <c r="AW45" i="15"/>
  <c r="AU45" i="15"/>
  <c r="AT45" i="15"/>
  <c r="AR45" i="15"/>
  <c r="AQ45" i="15"/>
  <c r="AO45" i="15"/>
  <c r="AN45" i="15"/>
  <c r="AL45" i="15"/>
  <c r="AK45" i="15"/>
  <c r="AI45" i="15"/>
  <c r="AH45" i="15"/>
  <c r="AF45" i="15"/>
  <c r="AE45" i="15"/>
  <c r="AC45" i="15"/>
  <c r="AB45" i="15"/>
  <c r="Z45" i="15"/>
  <c r="Y45" i="15"/>
  <c r="W45" i="15"/>
  <c r="V45" i="15"/>
  <c r="T45" i="15"/>
  <c r="S45" i="15"/>
  <c r="Q45" i="15"/>
  <c r="P45" i="15"/>
  <c r="N45" i="15"/>
  <c r="M45" i="15"/>
  <c r="BM44" i="15"/>
  <c r="BL44" i="15"/>
  <c r="BJ44" i="15"/>
  <c r="BI44" i="15"/>
  <c r="BG44" i="15"/>
  <c r="BF44" i="15"/>
  <c r="BD44" i="15"/>
  <c r="BC44" i="15"/>
  <c r="BA44" i="15"/>
  <c r="AZ44" i="15"/>
  <c r="AX44" i="15"/>
  <c r="AW44" i="15"/>
  <c r="AU44" i="15"/>
  <c r="AT44" i="15"/>
  <c r="AR44" i="15"/>
  <c r="AQ44" i="15"/>
  <c r="AO44" i="15"/>
  <c r="AN44" i="15"/>
  <c r="AL44" i="15"/>
  <c r="AK44" i="15"/>
  <c r="AI44" i="15"/>
  <c r="AH44" i="15"/>
  <c r="AF44" i="15"/>
  <c r="AE44" i="15"/>
  <c r="AC44" i="15"/>
  <c r="AB44" i="15"/>
  <c r="Z44" i="15"/>
  <c r="Y44" i="15"/>
  <c r="W44" i="15"/>
  <c r="V44" i="15"/>
  <c r="T44" i="15"/>
  <c r="S44" i="15"/>
  <c r="Q44" i="15"/>
  <c r="P44" i="15"/>
  <c r="N44" i="15"/>
  <c r="M44" i="15"/>
  <c r="BM43" i="15"/>
  <c r="BL43" i="15"/>
  <c r="BJ43" i="15"/>
  <c r="BI43" i="15"/>
  <c r="BG43" i="15"/>
  <c r="BF43" i="15"/>
  <c r="BD43" i="15"/>
  <c r="BC43" i="15"/>
  <c r="BA43" i="15"/>
  <c r="AZ43" i="15"/>
  <c r="AX43" i="15"/>
  <c r="AW43" i="15"/>
  <c r="AU43" i="15"/>
  <c r="AT43" i="15"/>
  <c r="AR43" i="15"/>
  <c r="AQ43" i="15"/>
  <c r="AO43" i="15"/>
  <c r="AN43" i="15"/>
  <c r="AL43" i="15"/>
  <c r="AK43" i="15"/>
  <c r="AI43" i="15"/>
  <c r="AH43" i="15"/>
  <c r="AF43" i="15"/>
  <c r="AE43" i="15"/>
  <c r="AC43" i="15"/>
  <c r="AB43" i="15"/>
  <c r="Z43" i="15"/>
  <c r="Y43" i="15"/>
  <c r="W43" i="15"/>
  <c r="V43" i="15"/>
  <c r="T43" i="15"/>
  <c r="S43" i="15"/>
  <c r="Q43" i="15"/>
  <c r="P43" i="15"/>
  <c r="N43" i="15"/>
  <c r="M43" i="15"/>
  <c r="BM42" i="15"/>
  <c r="BL42" i="15"/>
  <c r="BJ42" i="15"/>
  <c r="BI42" i="15"/>
  <c r="BG42" i="15"/>
  <c r="BF42" i="15"/>
  <c r="BD42" i="15"/>
  <c r="BC42" i="15"/>
  <c r="BA42" i="15"/>
  <c r="AZ42" i="15"/>
  <c r="AX42" i="15"/>
  <c r="AW42" i="15"/>
  <c r="AU42" i="15"/>
  <c r="AT42" i="15"/>
  <c r="AR42" i="15"/>
  <c r="AQ42" i="15"/>
  <c r="AO42" i="15"/>
  <c r="AN42" i="15"/>
  <c r="AL42" i="15"/>
  <c r="AK42" i="15"/>
  <c r="AI42" i="15"/>
  <c r="AH42" i="15"/>
  <c r="AF42" i="15"/>
  <c r="AE42" i="15"/>
  <c r="AC42" i="15"/>
  <c r="AB42" i="15"/>
  <c r="Z42" i="15"/>
  <c r="Y42" i="15"/>
  <c r="W42" i="15"/>
  <c r="V42" i="15"/>
  <c r="T42" i="15"/>
  <c r="S42" i="15"/>
  <c r="Q42" i="15"/>
  <c r="P42" i="15"/>
  <c r="N42" i="15"/>
  <c r="M42" i="15"/>
  <c r="BM41" i="15"/>
  <c r="BL41" i="15"/>
  <c r="BJ41" i="15"/>
  <c r="BI41" i="15"/>
  <c r="BG41" i="15"/>
  <c r="BF41" i="15"/>
  <c r="BD41" i="15"/>
  <c r="BC41" i="15"/>
  <c r="BA41" i="15"/>
  <c r="AZ41" i="15"/>
  <c r="AX41" i="15"/>
  <c r="AW41" i="15"/>
  <c r="AU41" i="15"/>
  <c r="AT41" i="15"/>
  <c r="AR41" i="15"/>
  <c r="AQ41" i="15"/>
  <c r="AO41" i="15"/>
  <c r="AN41" i="15"/>
  <c r="AL41" i="15"/>
  <c r="AK41" i="15"/>
  <c r="AI41" i="15"/>
  <c r="AH41" i="15"/>
  <c r="AF41" i="15"/>
  <c r="AE41" i="15"/>
  <c r="AC41" i="15"/>
  <c r="AB41" i="15"/>
  <c r="Z41" i="15"/>
  <c r="Y41" i="15"/>
  <c r="W41" i="15"/>
  <c r="V41" i="15"/>
  <c r="T41" i="15"/>
  <c r="S41" i="15"/>
  <c r="Q41" i="15"/>
  <c r="P41" i="15"/>
  <c r="N41" i="15"/>
  <c r="M41" i="15"/>
  <c r="BM40" i="15"/>
  <c r="BL40" i="15"/>
  <c r="BL39" i="15" s="1"/>
  <c r="BJ40" i="15"/>
  <c r="BI40" i="15"/>
  <c r="BG40" i="15"/>
  <c r="BF40" i="15"/>
  <c r="BD40" i="15"/>
  <c r="BC40" i="15"/>
  <c r="BA40" i="15"/>
  <c r="AZ40" i="15"/>
  <c r="AZ39" i="15" s="1"/>
  <c r="AX40" i="15"/>
  <c r="AW40" i="15"/>
  <c r="AU40" i="15"/>
  <c r="AT40" i="15"/>
  <c r="AR40" i="15"/>
  <c r="AQ40" i="15"/>
  <c r="AO40" i="15"/>
  <c r="AN40" i="15"/>
  <c r="AN39" i="15" s="1"/>
  <c r="AL40" i="15"/>
  <c r="AK40" i="15"/>
  <c r="AI40" i="15"/>
  <c r="AH40" i="15"/>
  <c r="AF40" i="15"/>
  <c r="AE40" i="15"/>
  <c r="AC40" i="15"/>
  <c r="AB40" i="15"/>
  <c r="AB39" i="15" s="1"/>
  <c r="Z40" i="15"/>
  <c r="Y40" i="15"/>
  <c r="W40" i="15"/>
  <c r="V40" i="15"/>
  <c r="T40" i="15"/>
  <c r="S40" i="15"/>
  <c r="Q40" i="15"/>
  <c r="P40" i="15"/>
  <c r="P39" i="15" s="1"/>
  <c r="N40" i="15"/>
  <c r="M40" i="15"/>
  <c r="BM38" i="15"/>
  <c r="BL38" i="15"/>
  <c r="BJ38" i="15"/>
  <c r="BI38" i="15"/>
  <c r="BG38" i="15"/>
  <c r="BF38" i="15"/>
  <c r="BD38" i="15"/>
  <c r="BC38" i="15"/>
  <c r="BA38" i="15"/>
  <c r="AZ38" i="15"/>
  <c r="AX38" i="15"/>
  <c r="AW38" i="15"/>
  <c r="AU38" i="15"/>
  <c r="AT38" i="15"/>
  <c r="AR38" i="15"/>
  <c r="AQ38" i="15"/>
  <c r="AO38" i="15"/>
  <c r="AN38" i="15"/>
  <c r="AL38" i="15"/>
  <c r="AK38" i="15"/>
  <c r="AI38" i="15"/>
  <c r="AH38" i="15"/>
  <c r="AF38" i="15"/>
  <c r="AE38" i="15"/>
  <c r="AC38" i="15"/>
  <c r="AB38" i="15"/>
  <c r="Z38" i="15"/>
  <c r="Y38" i="15"/>
  <c r="W38" i="15"/>
  <c r="V38" i="15"/>
  <c r="T38" i="15"/>
  <c r="S38" i="15"/>
  <c r="Q38" i="15"/>
  <c r="P38" i="15"/>
  <c r="N38" i="15"/>
  <c r="M38" i="15"/>
  <c r="BM37" i="15"/>
  <c r="BL37" i="15"/>
  <c r="BL36" i="15" s="1"/>
  <c r="BJ37" i="15"/>
  <c r="BI37" i="15"/>
  <c r="BG37" i="15"/>
  <c r="BF37" i="15"/>
  <c r="BD37" i="15"/>
  <c r="BC37" i="15"/>
  <c r="BC36" i="15" s="1"/>
  <c r="BA37" i="15"/>
  <c r="AZ37" i="15"/>
  <c r="AZ36" i="15" s="1"/>
  <c r="AX37" i="15"/>
  <c r="AW37" i="15"/>
  <c r="AU37" i="15"/>
  <c r="AT37" i="15"/>
  <c r="AR37" i="15"/>
  <c r="AQ37" i="15"/>
  <c r="AQ36" i="15" s="1"/>
  <c r="AO37" i="15"/>
  <c r="AN37" i="15"/>
  <c r="AN36" i="15" s="1"/>
  <c r="AL37" i="15"/>
  <c r="AK37" i="15"/>
  <c r="AI37" i="15"/>
  <c r="AH37" i="15"/>
  <c r="AF37" i="15"/>
  <c r="AE37" i="15"/>
  <c r="AE36" i="15" s="1"/>
  <c r="AC37" i="15"/>
  <c r="AB37" i="15"/>
  <c r="AB36" i="15" s="1"/>
  <c r="Z37" i="15"/>
  <c r="Y37" i="15"/>
  <c r="W37" i="15"/>
  <c r="V37" i="15"/>
  <c r="T37" i="15"/>
  <c r="S37" i="15"/>
  <c r="S36" i="15" s="1"/>
  <c r="Q37" i="15"/>
  <c r="P37" i="15"/>
  <c r="P36" i="15" s="1"/>
  <c r="N37" i="15"/>
  <c r="M37" i="15"/>
  <c r="BM35" i="15"/>
  <c r="BJ35" i="15"/>
  <c r="BG35" i="15"/>
  <c r="BD35" i="15"/>
  <c r="BA35" i="15"/>
  <c r="AX35" i="15"/>
  <c r="AU35" i="15"/>
  <c r="AR35" i="15"/>
  <c r="AO35" i="15"/>
  <c r="AL35" i="15"/>
  <c r="AI35" i="15"/>
  <c r="AF35" i="15"/>
  <c r="AC35" i="15"/>
  <c r="Z35" i="15"/>
  <c r="W35" i="15"/>
  <c r="T35" i="15"/>
  <c r="Q35" i="15"/>
  <c r="N35" i="15"/>
  <c r="BM34" i="15"/>
  <c r="BJ34" i="15"/>
  <c r="BG34" i="15"/>
  <c r="BD34" i="15"/>
  <c r="BA34" i="15"/>
  <c r="AX34" i="15"/>
  <c r="AU34" i="15"/>
  <c r="AR34" i="15"/>
  <c r="AO34" i="15"/>
  <c r="AL34" i="15"/>
  <c r="AI34" i="15"/>
  <c r="AF34" i="15"/>
  <c r="AC34" i="15"/>
  <c r="Z34" i="15"/>
  <c r="W34" i="15"/>
  <c r="T34" i="15"/>
  <c r="Q34" i="15"/>
  <c r="N34" i="15"/>
  <c r="BM33" i="15"/>
  <c r="BL33" i="15"/>
  <c r="BJ33" i="15"/>
  <c r="BI33" i="15"/>
  <c r="BG33" i="15"/>
  <c r="BF33" i="15"/>
  <c r="BD33" i="15"/>
  <c r="BC33" i="15"/>
  <c r="BA33" i="15"/>
  <c r="AZ33" i="15"/>
  <c r="AX33" i="15"/>
  <c r="AW33" i="15"/>
  <c r="AU33" i="15"/>
  <c r="AT33" i="15"/>
  <c r="AR33" i="15"/>
  <c r="AQ33" i="15"/>
  <c r="AO33" i="15"/>
  <c r="AN33" i="15"/>
  <c r="AL33" i="15"/>
  <c r="AK33" i="15"/>
  <c r="AI33" i="15"/>
  <c r="AH33" i="15"/>
  <c r="AF33" i="15"/>
  <c r="AE33" i="15"/>
  <c r="AC33" i="15"/>
  <c r="AB33" i="15"/>
  <c r="Z33" i="15"/>
  <c r="Y33" i="15"/>
  <c r="W33" i="15"/>
  <c r="V33" i="15"/>
  <c r="T33" i="15"/>
  <c r="S33" i="15"/>
  <c r="Q33" i="15"/>
  <c r="P33" i="15"/>
  <c r="N33" i="15"/>
  <c r="M33" i="15"/>
  <c r="BM32" i="15"/>
  <c r="BL32" i="15"/>
  <c r="BJ32" i="15"/>
  <c r="BI32" i="15"/>
  <c r="BG32" i="15"/>
  <c r="BF32" i="15"/>
  <c r="BD32" i="15"/>
  <c r="BC32" i="15"/>
  <c r="BA32" i="15"/>
  <c r="AZ32" i="15"/>
  <c r="AX32" i="15"/>
  <c r="AW32" i="15"/>
  <c r="AU32" i="15"/>
  <c r="AT32" i="15"/>
  <c r="AR32" i="15"/>
  <c r="AQ32" i="15"/>
  <c r="AO32" i="15"/>
  <c r="AN32" i="15"/>
  <c r="AL32" i="15"/>
  <c r="AK32" i="15"/>
  <c r="AI32" i="15"/>
  <c r="AH32" i="15"/>
  <c r="AF32" i="15"/>
  <c r="AE32" i="15"/>
  <c r="AC32" i="15"/>
  <c r="AB32" i="15"/>
  <c r="Z32" i="15"/>
  <c r="Y32" i="15"/>
  <c r="W32" i="15"/>
  <c r="V32" i="15"/>
  <c r="T32" i="15"/>
  <c r="S32" i="15"/>
  <c r="Q32" i="15"/>
  <c r="P32" i="15"/>
  <c r="N32" i="15"/>
  <c r="M32" i="15"/>
  <c r="BM31" i="15"/>
  <c r="BL31" i="15"/>
  <c r="BJ31" i="15"/>
  <c r="BI31" i="15"/>
  <c r="BG31" i="15"/>
  <c r="BF31" i="15"/>
  <c r="BD31" i="15"/>
  <c r="BC31" i="15"/>
  <c r="BA31" i="15"/>
  <c r="AZ31" i="15"/>
  <c r="AX31" i="15"/>
  <c r="AW31" i="15"/>
  <c r="AU31" i="15"/>
  <c r="AT31" i="15"/>
  <c r="AR31" i="15"/>
  <c r="AQ31" i="15"/>
  <c r="AO31" i="15"/>
  <c r="AN31" i="15"/>
  <c r="AL31" i="15"/>
  <c r="AK31" i="15"/>
  <c r="AI31" i="15"/>
  <c r="AH31" i="15"/>
  <c r="AF31" i="15"/>
  <c r="AE31" i="15"/>
  <c r="AC31" i="15"/>
  <c r="AB31" i="15"/>
  <c r="Z31" i="15"/>
  <c r="Y31" i="15"/>
  <c r="W31" i="15"/>
  <c r="V31" i="15"/>
  <c r="T31" i="15"/>
  <c r="S31" i="15"/>
  <c r="Q31" i="15"/>
  <c r="P31" i="15"/>
  <c r="N31" i="15"/>
  <c r="M31" i="15"/>
  <c r="BM30" i="15"/>
  <c r="BL30" i="15"/>
  <c r="BJ30" i="15"/>
  <c r="BI30" i="15"/>
  <c r="BG30" i="15"/>
  <c r="BF30" i="15"/>
  <c r="BD30" i="15"/>
  <c r="BC30" i="15"/>
  <c r="BA30" i="15"/>
  <c r="AZ30" i="15"/>
  <c r="AX30" i="15"/>
  <c r="AW30" i="15"/>
  <c r="AU30" i="15"/>
  <c r="AT30" i="15"/>
  <c r="AR30" i="15"/>
  <c r="AQ30" i="15"/>
  <c r="AO30" i="15"/>
  <c r="AN30" i="15"/>
  <c r="AL30" i="15"/>
  <c r="AK30" i="15"/>
  <c r="AI30" i="15"/>
  <c r="AH30" i="15"/>
  <c r="AF30" i="15"/>
  <c r="AE30" i="15"/>
  <c r="AC30" i="15"/>
  <c r="AB30" i="15"/>
  <c r="Z30" i="15"/>
  <c r="Y30" i="15"/>
  <c r="W30" i="15"/>
  <c r="V30" i="15"/>
  <c r="T30" i="15"/>
  <c r="S30" i="15"/>
  <c r="Q30" i="15"/>
  <c r="P30" i="15"/>
  <c r="N30" i="15"/>
  <c r="M30" i="15"/>
  <c r="BM29" i="15"/>
  <c r="BL29" i="15"/>
  <c r="BJ29" i="15"/>
  <c r="BI29" i="15"/>
  <c r="BG29" i="15"/>
  <c r="BF29" i="15"/>
  <c r="BD29" i="15"/>
  <c r="BC29" i="15"/>
  <c r="BA29" i="15"/>
  <c r="AZ29" i="15"/>
  <c r="AX29" i="15"/>
  <c r="AW29" i="15"/>
  <c r="AU29" i="15"/>
  <c r="AT29" i="15"/>
  <c r="AR29" i="15"/>
  <c r="AQ29" i="15"/>
  <c r="AO29" i="15"/>
  <c r="AN29" i="15"/>
  <c r="AL29" i="15"/>
  <c r="AK29" i="15"/>
  <c r="AI29" i="15"/>
  <c r="AH29" i="15"/>
  <c r="AF29" i="15"/>
  <c r="AE29" i="15"/>
  <c r="AC29" i="15"/>
  <c r="AB29" i="15"/>
  <c r="Z29" i="15"/>
  <c r="Y29" i="15"/>
  <c r="W29" i="15"/>
  <c r="V29" i="15"/>
  <c r="T29" i="15"/>
  <c r="S29" i="15"/>
  <c r="Q29" i="15"/>
  <c r="P29" i="15"/>
  <c r="N29" i="15"/>
  <c r="M29" i="15"/>
  <c r="BM28" i="15"/>
  <c r="BL28" i="15"/>
  <c r="BJ28" i="15"/>
  <c r="BI28" i="15"/>
  <c r="BG28" i="15"/>
  <c r="BF28" i="15"/>
  <c r="BD28" i="15"/>
  <c r="BC28" i="15"/>
  <c r="BA28" i="15"/>
  <c r="AZ28" i="15"/>
  <c r="AX28" i="15"/>
  <c r="AW28" i="15"/>
  <c r="AU28" i="15"/>
  <c r="AT28" i="15"/>
  <c r="AR28" i="15"/>
  <c r="AQ28" i="15"/>
  <c r="AO28" i="15"/>
  <c r="AN28" i="15"/>
  <c r="AL28" i="15"/>
  <c r="AK28" i="15"/>
  <c r="AI28" i="15"/>
  <c r="AH28" i="15"/>
  <c r="AF28" i="15"/>
  <c r="AE28" i="15"/>
  <c r="AC28" i="15"/>
  <c r="AB28" i="15"/>
  <c r="Z28" i="15"/>
  <c r="Y28" i="15"/>
  <c r="W28" i="15"/>
  <c r="V28" i="15"/>
  <c r="T28" i="15"/>
  <c r="S28" i="15"/>
  <c r="Q28" i="15"/>
  <c r="P28" i="15"/>
  <c r="N28" i="15"/>
  <c r="M28" i="15"/>
  <c r="BM26" i="15"/>
  <c r="BL26" i="15"/>
  <c r="BJ26" i="15"/>
  <c r="BI26" i="15"/>
  <c r="BG26" i="15"/>
  <c r="BF26" i="15"/>
  <c r="BD26" i="15"/>
  <c r="BC26" i="15"/>
  <c r="BA26" i="15"/>
  <c r="AZ26" i="15"/>
  <c r="AX26" i="15"/>
  <c r="AW26" i="15"/>
  <c r="AU26" i="15"/>
  <c r="AT26" i="15"/>
  <c r="AR26" i="15"/>
  <c r="AQ26" i="15"/>
  <c r="AO26" i="15"/>
  <c r="AN26" i="15"/>
  <c r="AL26" i="15"/>
  <c r="AK26" i="15"/>
  <c r="AI26" i="15"/>
  <c r="AH26" i="15"/>
  <c r="AF26" i="15"/>
  <c r="AE26" i="15"/>
  <c r="AC26" i="15"/>
  <c r="AB26" i="15"/>
  <c r="Z26" i="15"/>
  <c r="Y26" i="15"/>
  <c r="W26" i="15"/>
  <c r="V26" i="15"/>
  <c r="T26" i="15"/>
  <c r="S26" i="15"/>
  <c r="Q26" i="15"/>
  <c r="P26" i="15"/>
  <c r="N26" i="15"/>
  <c r="M26" i="15"/>
  <c r="BM25" i="15"/>
  <c r="BL25" i="15"/>
  <c r="BJ25" i="15"/>
  <c r="BI25" i="15"/>
  <c r="BG25" i="15"/>
  <c r="BF25" i="15"/>
  <c r="BD25" i="15"/>
  <c r="BC25" i="15"/>
  <c r="BA25" i="15"/>
  <c r="AZ25" i="15"/>
  <c r="AX25" i="15"/>
  <c r="AW25" i="15"/>
  <c r="AU25" i="15"/>
  <c r="AT25" i="15"/>
  <c r="AR25" i="15"/>
  <c r="AQ25" i="15"/>
  <c r="AO25" i="15"/>
  <c r="AN25" i="15"/>
  <c r="AL25" i="15"/>
  <c r="AK25" i="15"/>
  <c r="AI25" i="15"/>
  <c r="AH25" i="15"/>
  <c r="AF25" i="15"/>
  <c r="AE25" i="15"/>
  <c r="AC25" i="15"/>
  <c r="AB25" i="15"/>
  <c r="Z25" i="15"/>
  <c r="Y25" i="15"/>
  <c r="W25" i="15"/>
  <c r="V25" i="15"/>
  <c r="T25" i="15"/>
  <c r="S25" i="15"/>
  <c r="Q25" i="15"/>
  <c r="P25" i="15"/>
  <c r="N25" i="15"/>
  <c r="M25" i="15"/>
  <c r="BM24" i="15"/>
  <c r="BL24" i="15"/>
  <c r="BJ24" i="15"/>
  <c r="BI24" i="15"/>
  <c r="BG24" i="15"/>
  <c r="BF24" i="15"/>
  <c r="BD24" i="15"/>
  <c r="BC24" i="15"/>
  <c r="BA24" i="15"/>
  <c r="AZ24" i="15"/>
  <c r="AX24" i="15"/>
  <c r="AW24" i="15"/>
  <c r="AU24" i="15"/>
  <c r="AT24" i="15"/>
  <c r="AR24" i="15"/>
  <c r="AQ24" i="15"/>
  <c r="AO24" i="15"/>
  <c r="AN24" i="15"/>
  <c r="AL24" i="15"/>
  <c r="AK24" i="15"/>
  <c r="AI24" i="15"/>
  <c r="AH24" i="15"/>
  <c r="AF24" i="15"/>
  <c r="AE24" i="15"/>
  <c r="AC24" i="15"/>
  <c r="AB24" i="15"/>
  <c r="Z24" i="15"/>
  <c r="Y24" i="15"/>
  <c r="W24" i="15"/>
  <c r="V24" i="15"/>
  <c r="T24" i="15"/>
  <c r="S24" i="15"/>
  <c r="Q24" i="15"/>
  <c r="P24" i="15"/>
  <c r="N24" i="15"/>
  <c r="M24" i="15"/>
  <c r="BM23" i="15"/>
  <c r="BL23" i="15"/>
  <c r="BL22" i="15" s="1"/>
  <c r="BJ23" i="15"/>
  <c r="BI23" i="15"/>
  <c r="BG23" i="15"/>
  <c r="BF23" i="15"/>
  <c r="BD23" i="15"/>
  <c r="BC23" i="15"/>
  <c r="BC22" i="15" s="1"/>
  <c r="BA23" i="15"/>
  <c r="AZ23" i="15"/>
  <c r="AZ22" i="15" s="1"/>
  <c r="AX23" i="15"/>
  <c r="AW23" i="15"/>
  <c r="AW22" i="15" s="1"/>
  <c r="AU23" i="15"/>
  <c r="AT23" i="15"/>
  <c r="AR23" i="15"/>
  <c r="AQ23" i="15"/>
  <c r="AQ22" i="15" s="1"/>
  <c r="AO23" i="15"/>
  <c r="AN23" i="15"/>
  <c r="AN22" i="15" s="1"/>
  <c r="AL23" i="15"/>
  <c r="AK23" i="15"/>
  <c r="AK22" i="15" s="1"/>
  <c r="AI23" i="15"/>
  <c r="AH23" i="15"/>
  <c r="AF23" i="15"/>
  <c r="AE23" i="15"/>
  <c r="AE22" i="15" s="1"/>
  <c r="AC23" i="15"/>
  <c r="AB23" i="15"/>
  <c r="AB22" i="15" s="1"/>
  <c r="Z23" i="15"/>
  <c r="Y23" i="15"/>
  <c r="Y22" i="15" s="1"/>
  <c r="W23" i="15"/>
  <c r="V23" i="15"/>
  <c r="T23" i="15"/>
  <c r="S23" i="15"/>
  <c r="Q23" i="15"/>
  <c r="P23" i="15"/>
  <c r="P22" i="15" s="1"/>
  <c r="N23" i="15"/>
  <c r="M23" i="15"/>
  <c r="M22" i="15" s="1"/>
  <c r="BM21" i="15"/>
  <c r="BL21" i="15"/>
  <c r="BJ21" i="15"/>
  <c r="BI21" i="15"/>
  <c r="BG21" i="15"/>
  <c r="BF21" i="15"/>
  <c r="BD21" i="15"/>
  <c r="BC21" i="15"/>
  <c r="BA21" i="15"/>
  <c r="AZ21" i="15"/>
  <c r="AX21" i="15"/>
  <c r="AW21" i="15"/>
  <c r="AU21" i="15"/>
  <c r="AT21" i="15"/>
  <c r="AR21" i="15"/>
  <c r="AQ21" i="15"/>
  <c r="AO21" i="15"/>
  <c r="AN21" i="15"/>
  <c r="AL21" i="15"/>
  <c r="AK21" i="15"/>
  <c r="AI21" i="15"/>
  <c r="AH21" i="15"/>
  <c r="AF21" i="15"/>
  <c r="AE21" i="15"/>
  <c r="AC21" i="15"/>
  <c r="Z21" i="15"/>
  <c r="Y21" i="15"/>
  <c r="W21" i="15"/>
  <c r="V21" i="15"/>
  <c r="T21" i="15"/>
  <c r="S21" i="15"/>
  <c r="Q21" i="15"/>
  <c r="P21" i="15"/>
  <c r="N21" i="15"/>
  <c r="M21" i="15"/>
  <c r="BM20" i="15"/>
  <c r="BL20" i="15"/>
  <c r="BJ20" i="15"/>
  <c r="BI20" i="15"/>
  <c r="BI19" i="15" s="1"/>
  <c r="BG20" i="15"/>
  <c r="BF20" i="15"/>
  <c r="BD20" i="15"/>
  <c r="BC20" i="15"/>
  <c r="BA20" i="15"/>
  <c r="AZ20" i="15"/>
  <c r="AX20" i="15"/>
  <c r="AW20" i="15"/>
  <c r="AW19" i="15" s="1"/>
  <c r="AU20" i="15"/>
  <c r="AT20" i="15"/>
  <c r="AR20" i="15"/>
  <c r="AQ20" i="15"/>
  <c r="AO20" i="15"/>
  <c r="AN20" i="15"/>
  <c r="AN19" i="15" s="1"/>
  <c r="AL20" i="15"/>
  <c r="AK20" i="15"/>
  <c r="AK19" i="15" s="1"/>
  <c r="AI20" i="15"/>
  <c r="AH20" i="15"/>
  <c r="AF20" i="15"/>
  <c r="AE20" i="15"/>
  <c r="AC20" i="15"/>
  <c r="AB20" i="15"/>
  <c r="AB19" i="15" s="1"/>
  <c r="Z20" i="15"/>
  <c r="Y20" i="15"/>
  <c r="Y19" i="15" s="1"/>
  <c r="W20" i="15"/>
  <c r="V20" i="15"/>
  <c r="V19" i="15" s="1"/>
  <c r="T20" i="15"/>
  <c r="S20" i="15"/>
  <c r="Q20" i="15"/>
  <c r="P20" i="15"/>
  <c r="N20" i="15"/>
  <c r="M20" i="15"/>
  <c r="M19" i="15" s="1"/>
  <c r="BM18" i="15"/>
  <c r="BJ18" i="15"/>
  <c r="BG18" i="15"/>
  <c r="BD18" i="15"/>
  <c r="BA18" i="15"/>
  <c r="AX18" i="15"/>
  <c r="AU18" i="15"/>
  <c r="AR18" i="15"/>
  <c r="AO18" i="15"/>
  <c r="AL18" i="15"/>
  <c r="AI18" i="15"/>
  <c r="AF18" i="15"/>
  <c r="AC18" i="15"/>
  <c r="Z18" i="15"/>
  <c r="W18" i="15"/>
  <c r="T18" i="15"/>
  <c r="Q18" i="15"/>
  <c r="N18" i="15"/>
  <c r="BM17" i="15"/>
  <c r="BL17" i="15"/>
  <c r="BJ17" i="15"/>
  <c r="BI17" i="15"/>
  <c r="BG17" i="15"/>
  <c r="BF17" i="15"/>
  <c r="BD17" i="15"/>
  <c r="BC17" i="15"/>
  <c r="BA17" i="15"/>
  <c r="AZ17" i="15"/>
  <c r="AX17" i="15"/>
  <c r="AW17" i="15"/>
  <c r="AU17" i="15"/>
  <c r="AT17" i="15"/>
  <c r="AR17" i="15"/>
  <c r="AQ17" i="15"/>
  <c r="AO17" i="15"/>
  <c r="AN17" i="15"/>
  <c r="AL17" i="15"/>
  <c r="AK17" i="15"/>
  <c r="AI17" i="15"/>
  <c r="AH17" i="15"/>
  <c r="AF17" i="15"/>
  <c r="AE17" i="15"/>
  <c r="AC17" i="15"/>
  <c r="AB17" i="15"/>
  <c r="Z17" i="15"/>
  <c r="Y17" i="15"/>
  <c r="W17" i="15"/>
  <c r="V17" i="15"/>
  <c r="T17" i="15"/>
  <c r="S17" i="15"/>
  <c r="Q17" i="15"/>
  <c r="P17" i="15"/>
  <c r="N17" i="15"/>
  <c r="M17" i="15"/>
  <c r="BM16" i="15"/>
  <c r="BL16" i="15"/>
  <c r="BJ16" i="15"/>
  <c r="BI16" i="15"/>
  <c r="BG16" i="15"/>
  <c r="BF16" i="15"/>
  <c r="BD16" i="15"/>
  <c r="BC16" i="15"/>
  <c r="BA16" i="15"/>
  <c r="AZ16" i="15"/>
  <c r="AX16" i="15"/>
  <c r="AW16" i="15"/>
  <c r="AU16" i="15"/>
  <c r="AT16" i="15"/>
  <c r="AR16" i="15"/>
  <c r="AQ16" i="15"/>
  <c r="AO16" i="15"/>
  <c r="AN16" i="15"/>
  <c r="AL16" i="15"/>
  <c r="AK16" i="15"/>
  <c r="AI16" i="15"/>
  <c r="AH16" i="15"/>
  <c r="AF16" i="15"/>
  <c r="AE16" i="15"/>
  <c r="AC16" i="15"/>
  <c r="AB16" i="15"/>
  <c r="Z16" i="15"/>
  <c r="Y16" i="15"/>
  <c r="W16" i="15"/>
  <c r="V16" i="15"/>
  <c r="T16" i="15"/>
  <c r="S16" i="15"/>
  <c r="Q16" i="15"/>
  <c r="P16" i="15"/>
  <c r="N16" i="15"/>
  <c r="M16" i="15"/>
  <c r="BM15" i="15"/>
  <c r="BL15" i="15"/>
  <c r="BJ15" i="15"/>
  <c r="BI15" i="15"/>
  <c r="BG15" i="15"/>
  <c r="BF15" i="15"/>
  <c r="BD15" i="15"/>
  <c r="BC15" i="15"/>
  <c r="BA15" i="15"/>
  <c r="AZ15" i="15"/>
  <c r="AX15" i="15"/>
  <c r="AW15" i="15"/>
  <c r="AU15" i="15"/>
  <c r="AT15" i="15"/>
  <c r="AR15" i="15"/>
  <c r="AQ15" i="15"/>
  <c r="AO15" i="15"/>
  <c r="AN15" i="15"/>
  <c r="AL15" i="15"/>
  <c r="AK15" i="15"/>
  <c r="AI15" i="15"/>
  <c r="AH15" i="15"/>
  <c r="AF15" i="15"/>
  <c r="AE15" i="15"/>
  <c r="AC15" i="15"/>
  <c r="AB15" i="15"/>
  <c r="Z15" i="15"/>
  <c r="Y15" i="15"/>
  <c r="W15" i="15"/>
  <c r="V15" i="15"/>
  <c r="T15" i="15"/>
  <c r="S15" i="15"/>
  <c r="Q15" i="15"/>
  <c r="P15" i="15"/>
  <c r="N15" i="15"/>
  <c r="M15" i="15"/>
  <c r="P19" i="15" l="1"/>
  <c r="AZ19" i="15"/>
  <c r="BL19" i="15"/>
  <c r="V36" i="15"/>
  <c r="AH36" i="15"/>
  <c r="AT36" i="15"/>
  <c r="BF36" i="15"/>
  <c r="V22" i="15"/>
  <c r="AH22" i="15"/>
  <c r="AT22" i="15"/>
  <c r="BF22" i="15"/>
  <c r="V39" i="15"/>
  <c r="AH39" i="15"/>
  <c r="AT39" i="15"/>
  <c r="BF39" i="15"/>
  <c r="AE19" i="15"/>
  <c r="M36" i="15"/>
  <c r="Y36" i="15"/>
  <c r="AK36" i="15"/>
  <c r="AW36" i="15"/>
  <c r="BI36" i="15"/>
  <c r="S19" i="15"/>
  <c r="AQ19" i="15"/>
  <c r="BI22" i="15"/>
  <c r="BC19" i="15"/>
  <c r="BF19" i="15"/>
  <c r="AT19" i="15"/>
  <c r="AH19" i="15"/>
  <c r="S22" i="15"/>
  <c r="M39" i="15"/>
  <c r="Y39" i="15"/>
  <c r="AK39" i="15"/>
  <c r="AW39" i="15"/>
  <c r="BI39" i="15"/>
  <c r="S39" i="15"/>
  <c r="AE39" i="15"/>
  <c r="AQ39" i="15"/>
  <c r="BC39" i="15"/>
  <c r="K46" i="15"/>
  <c r="K45" i="15"/>
  <c r="K44" i="15"/>
  <c r="K43" i="15"/>
  <c r="K42" i="15"/>
  <c r="K41" i="15"/>
  <c r="K40" i="15"/>
  <c r="K38" i="15"/>
  <c r="K37" i="15"/>
  <c r="K35" i="15"/>
  <c r="K34" i="15"/>
  <c r="K33" i="15"/>
  <c r="K32" i="15"/>
  <c r="K31" i="15"/>
  <c r="K30" i="15"/>
  <c r="K29" i="15"/>
  <c r="K28" i="15"/>
  <c r="K26" i="15"/>
  <c r="K25" i="15"/>
  <c r="K24" i="15"/>
  <c r="K23" i="15"/>
  <c r="K21" i="15"/>
  <c r="K20" i="15"/>
  <c r="K18" i="15"/>
  <c r="K17" i="15"/>
  <c r="K16" i="15"/>
  <c r="J58" i="15"/>
  <c r="F35" i="15" l="1"/>
  <c r="F34" i="15"/>
  <c r="K57" i="15"/>
  <c r="K56" i="15"/>
  <c r="K55" i="15"/>
  <c r="H58" i="15"/>
  <c r="BD58" i="15" s="1"/>
  <c r="J44" i="15"/>
  <c r="H44" i="15"/>
  <c r="J43" i="15"/>
  <c r="H43" i="15"/>
  <c r="J42" i="15"/>
  <c r="H42" i="15"/>
  <c r="J41" i="15"/>
  <c r="H41" i="15"/>
  <c r="J32" i="15"/>
  <c r="H32" i="15"/>
  <c r="J31" i="15"/>
  <c r="H31" i="15"/>
  <c r="J30" i="15"/>
  <c r="H30" i="15"/>
  <c r="J29" i="15"/>
  <c r="H29" i="15"/>
  <c r="AC58" i="15" l="1"/>
  <c r="AU58" i="15"/>
  <c r="BJ58" i="15"/>
  <c r="T58" i="15"/>
  <c r="AI58" i="15"/>
  <c r="BM58" i="15"/>
  <c r="BA58" i="15"/>
  <c r="N58" i="15"/>
  <c r="Z58" i="15"/>
  <c r="BG58" i="15"/>
  <c r="AZ27" i="15"/>
  <c r="AT27" i="15"/>
  <c r="AN34" i="15"/>
  <c r="AB27" i="15"/>
  <c r="V34" i="15"/>
  <c r="P34" i="15"/>
  <c r="AW34" i="15"/>
  <c r="AQ34" i="15"/>
  <c r="AK34" i="15"/>
  <c r="AE34" i="15"/>
  <c r="Y27" i="15"/>
  <c r="AN35" i="15"/>
  <c r="V35" i="15"/>
  <c r="P35" i="15"/>
  <c r="AW35" i="15"/>
  <c r="AQ35" i="15"/>
  <c r="AK35" i="15"/>
  <c r="AE35" i="15"/>
  <c r="J25" i="15"/>
  <c r="H25" i="15"/>
  <c r="J24" i="15"/>
  <c r="H24" i="15"/>
  <c r="AW27" i="15" l="1"/>
  <c r="AE27" i="15"/>
  <c r="BC27" i="15"/>
  <c r="V27" i="15"/>
  <c r="M27" i="15"/>
  <c r="AK27" i="15"/>
  <c r="BI27" i="15"/>
  <c r="AH27" i="15"/>
  <c r="BF27" i="15"/>
  <c r="S27" i="15"/>
  <c r="AQ27" i="15"/>
  <c r="P27" i="15"/>
  <c r="AN27" i="15"/>
  <c r="BL27" i="15"/>
  <c r="J38" i="15"/>
  <c r="H38" i="15"/>
  <c r="J37" i="15"/>
  <c r="H37" i="15"/>
  <c r="J17" i="15"/>
  <c r="H17" i="15"/>
  <c r="J16" i="15"/>
  <c r="H16" i="15"/>
  <c r="H36" i="15" l="1"/>
  <c r="J36" i="15"/>
  <c r="J46" i="15" l="1"/>
  <c r="J45" i="15"/>
  <c r="J40" i="15"/>
  <c r="J33" i="15"/>
  <c r="J28" i="15"/>
  <c r="J26" i="15"/>
  <c r="J23" i="15"/>
  <c r="J21" i="15"/>
  <c r="J20" i="15"/>
  <c r="J15" i="15"/>
  <c r="I50" i="15" l="1"/>
  <c r="K58" i="15"/>
  <c r="G50" i="15"/>
  <c r="H46" i="15"/>
  <c r="H45" i="15" l="1"/>
  <c r="H33" i="15"/>
  <c r="H28" i="15"/>
  <c r="H27" i="15" l="1"/>
  <c r="J27" i="15"/>
  <c r="K54" i="15" l="1"/>
  <c r="H15" i="15" l="1"/>
  <c r="H40" i="15" l="1"/>
  <c r="H39" i="15" s="1"/>
  <c r="J39" i="15"/>
  <c r="H26" i="15"/>
  <c r="H23" i="15"/>
  <c r="H22" i="15" l="1"/>
  <c r="J22" i="15"/>
  <c r="H20" i="15" l="1"/>
  <c r="H21" i="15"/>
  <c r="AA10" i="15"/>
  <c r="BK10" i="15"/>
  <c r="AS10" i="15"/>
  <c r="AD10" i="15"/>
  <c r="AE60" i="15" s="1"/>
  <c r="AP10" i="15"/>
  <c r="AQ60" i="15" s="1"/>
  <c r="AG10" i="15"/>
  <c r="L10" i="15"/>
  <c r="X10" i="15"/>
  <c r="AJ10" i="15"/>
  <c r="AK60" i="15" s="1"/>
  <c r="AV10" i="15"/>
  <c r="AW60" i="15" s="1"/>
  <c r="BH10" i="15"/>
  <c r="U10" i="15"/>
  <c r="V60" i="15" s="1"/>
  <c r="BE10" i="15"/>
  <c r="AM10" i="15"/>
  <c r="AN60" i="15" s="1"/>
  <c r="AY10" i="15"/>
  <c r="R10" i="15"/>
  <c r="BB10" i="15"/>
  <c r="O10" i="15"/>
  <c r="P60" i="15" s="1"/>
  <c r="K15" i="15"/>
  <c r="I10" i="15"/>
  <c r="C22" i="10"/>
  <c r="D22" i="10" s="1"/>
  <c r="C23" i="10"/>
  <c r="D23" i="10" s="1"/>
  <c r="C24" i="10"/>
  <c r="J24" i="10"/>
  <c r="C25" i="10"/>
  <c r="J25" i="10" s="1"/>
  <c r="C26" i="10"/>
  <c r="J26" i="10" s="1"/>
  <c r="C27" i="10"/>
  <c r="D27" i="10" s="1"/>
  <c r="C28" i="10"/>
  <c r="J28" i="10" s="1"/>
  <c r="C29" i="10"/>
  <c r="J29" i="10" s="1"/>
  <c r="C30" i="10"/>
  <c r="I30" i="10" s="1"/>
  <c r="C31" i="10"/>
  <c r="D31" i="10" s="1"/>
  <c r="J31" i="10"/>
  <c r="C32" i="10"/>
  <c r="J32" i="10" s="1"/>
  <c r="C33" i="10"/>
  <c r="J33" i="10" s="1"/>
  <c r="C34" i="10"/>
  <c r="J34" i="10" s="1"/>
  <c r="C46" i="107"/>
  <c r="D46" i="107" s="1"/>
  <c r="C47" i="107"/>
  <c r="D47" i="107" s="1"/>
  <c r="C48" i="107"/>
  <c r="D48" i="107" s="1"/>
  <c r="C49" i="107"/>
  <c r="D49" i="107" s="1"/>
  <c r="C50" i="107"/>
  <c r="D50" i="107" s="1"/>
  <c r="C51" i="107"/>
  <c r="D51" i="107" s="1"/>
  <c r="C52" i="107"/>
  <c r="D52" i="107" s="1"/>
  <c r="C53" i="107"/>
  <c r="D53" i="107" s="1"/>
  <c r="C54" i="107"/>
  <c r="D54" i="107" s="1"/>
  <c r="C55" i="107"/>
  <c r="D55" i="107" s="1"/>
  <c r="C56" i="107"/>
  <c r="D56" i="107" s="1"/>
  <c r="C57" i="107"/>
  <c r="D57" i="107" s="1"/>
  <c r="C58" i="107"/>
  <c r="D58" i="107" s="1"/>
  <c r="C59" i="107"/>
  <c r="D59" i="107" s="1"/>
  <c r="C60" i="107"/>
  <c r="D60" i="107" s="1"/>
  <c r="C61" i="107"/>
  <c r="D61" i="107" s="1"/>
  <c r="C62" i="107"/>
  <c r="D62" i="107" s="1"/>
  <c r="C45" i="107"/>
  <c r="D45" i="107" s="1"/>
  <c r="BK12" i="15"/>
  <c r="BK11" i="15"/>
  <c r="BK61" i="15" s="1"/>
  <c r="BH12" i="15"/>
  <c r="BH11" i="15"/>
  <c r="BH61" i="15" s="1"/>
  <c r="BE12" i="15"/>
  <c r="BE11" i="15"/>
  <c r="BE61" i="15" s="1"/>
  <c r="BB12" i="15"/>
  <c r="BB11" i="15"/>
  <c r="BB61" i="15" s="1"/>
  <c r="AY12" i="15"/>
  <c r="AY11" i="15"/>
  <c r="AY61" i="15" s="1"/>
  <c r="AV12" i="15"/>
  <c r="AV11" i="15"/>
  <c r="AV61" i="15" s="1"/>
  <c r="AS12" i="15"/>
  <c r="AS11" i="15"/>
  <c r="AS61" i="15" s="1"/>
  <c r="AP12" i="15"/>
  <c r="AP11" i="15"/>
  <c r="AP61" i="15" s="1"/>
  <c r="I12" i="15"/>
  <c r="I11" i="15"/>
  <c r="I61" i="15" s="1"/>
  <c r="AM11" i="15"/>
  <c r="AM61" i="15" s="1"/>
  <c r="AM12" i="15"/>
  <c r="AJ12" i="15"/>
  <c r="AJ11" i="15"/>
  <c r="AJ61" i="15" s="1"/>
  <c r="AG12" i="15"/>
  <c r="AG11" i="15"/>
  <c r="AG61" i="15" s="1"/>
  <c r="AD12" i="15"/>
  <c r="AD11" i="15"/>
  <c r="AD61" i="15" s="1"/>
  <c r="AA12" i="15"/>
  <c r="AA11" i="15"/>
  <c r="AA61" i="15" s="1"/>
  <c r="X12" i="15"/>
  <c r="X11" i="15"/>
  <c r="X61" i="15" s="1"/>
  <c r="U12" i="15"/>
  <c r="U11" i="15"/>
  <c r="U61" i="15" s="1"/>
  <c r="R12" i="15"/>
  <c r="R11" i="15"/>
  <c r="R61" i="15" s="1"/>
  <c r="O12" i="15"/>
  <c r="O11" i="15"/>
  <c r="O61" i="15" s="1"/>
  <c r="L12" i="15"/>
  <c r="L11" i="15"/>
  <c r="L61" i="15" s="1"/>
  <c r="C17" i="10"/>
  <c r="J17" i="10" s="1"/>
  <c r="C18" i="10"/>
  <c r="J18" i="10" s="1"/>
  <c r="C19" i="10"/>
  <c r="J19" i="10" s="1"/>
  <c r="C20" i="10"/>
  <c r="I20" i="10" s="1"/>
  <c r="C21" i="10"/>
  <c r="J21" i="10" s="1"/>
  <c r="K14" i="10"/>
  <c r="B8" i="10"/>
  <c r="P8" i="10" s="1"/>
  <c r="H14" i="107"/>
  <c r="E15" i="107" s="1"/>
  <c r="C44" i="107"/>
  <c r="D44" i="107"/>
  <c r="AH42" i="107"/>
  <c r="AG42" i="107"/>
  <c r="AF42" i="107"/>
  <c r="AE42" i="107"/>
  <c r="B7" i="107"/>
  <c r="B5" i="107"/>
  <c r="B3" i="107"/>
  <c r="B1" i="107"/>
  <c r="C16" i="10"/>
  <c r="J16" i="10" s="1"/>
  <c r="E35" i="13"/>
  <c r="E36" i="13"/>
  <c r="E37" i="13"/>
  <c r="B5" i="10"/>
  <c r="P5" i="10" s="1"/>
  <c r="B5" i="15"/>
  <c r="B7" i="10"/>
  <c r="P7" i="10" s="1"/>
  <c r="B3" i="10"/>
  <c r="P3" i="10" s="1"/>
  <c r="B1" i="10"/>
  <c r="P1" i="10" s="1"/>
  <c r="B3" i="15"/>
  <c r="B7" i="15"/>
  <c r="B1" i="15"/>
  <c r="P17" i="10"/>
  <c r="P18" i="10" s="1"/>
  <c r="P19" i="10" s="1"/>
  <c r="P20" i="10" s="1"/>
  <c r="P21" i="10" s="1"/>
  <c r="P22" i="10" s="1"/>
  <c r="P23" i="10" s="1"/>
  <c r="P24" i="10" s="1"/>
  <c r="P25" i="10" s="1"/>
  <c r="P26" i="10" s="1"/>
  <c r="P27" i="10" s="1"/>
  <c r="P28" i="10" s="1"/>
  <c r="P29" i="10" s="1"/>
  <c r="P30" i="10" s="1"/>
  <c r="P31" i="10" s="1"/>
  <c r="P32" i="10" s="1"/>
  <c r="P33" i="10" s="1"/>
  <c r="P34" i="10" s="1"/>
  <c r="D26" i="10"/>
  <c r="I31" i="10"/>
  <c r="I22" i="10"/>
  <c r="D24" i="10"/>
  <c r="I24" i="10"/>
  <c r="I33" i="10"/>
  <c r="I29" i="10"/>
  <c r="M16" i="10"/>
  <c r="D21" i="10"/>
  <c r="M23" i="10"/>
  <c r="M31" i="10"/>
  <c r="M27" i="10"/>
  <c r="M24" i="10"/>
  <c r="M21" i="10" l="1"/>
  <c r="J22" i="10"/>
  <c r="M22" i="10"/>
  <c r="D28" i="10"/>
  <c r="M28" i="10"/>
  <c r="I18" i="10"/>
  <c r="D29" i="10"/>
  <c r="D25" i="10"/>
  <c r="D20" i="10"/>
  <c r="D19" i="10"/>
  <c r="D33" i="10"/>
  <c r="I26" i="10"/>
  <c r="I19" i="10"/>
  <c r="D30" i="10"/>
  <c r="J30" i="10"/>
  <c r="D18" i="10"/>
  <c r="D32" i="10"/>
  <c r="M29" i="10"/>
  <c r="M18" i="10"/>
  <c r="M26" i="10"/>
  <c r="I23" i="10"/>
  <c r="M30" i="10"/>
  <c r="M25" i="10"/>
  <c r="M33" i="10"/>
  <c r="M19" i="10"/>
  <c r="M32" i="10"/>
  <c r="I25" i="10"/>
  <c r="I21" i="10"/>
  <c r="I32" i="10"/>
  <c r="E38" i="13"/>
  <c r="E38" i="107"/>
  <c r="J20" i="10"/>
  <c r="I34" i="10"/>
  <c r="D17" i="10"/>
  <c r="D16" i="10"/>
  <c r="D34" i="10"/>
  <c r="I17" i="10"/>
  <c r="M34" i="10"/>
  <c r="J23" i="10"/>
  <c r="M17" i="10"/>
  <c r="J27" i="10"/>
  <c r="M20" i="10"/>
  <c r="I28" i="10"/>
  <c r="I27" i="10"/>
  <c r="I16" i="10"/>
  <c r="J19" i="15"/>
  <c r="H19" i="15"/>
  <c r="H14" i="15" l="1"/>
  <c r="H47" i="15" s="1"/>
  <c r="F18" i="15"/>
  <c r="J14" i="15"/>
  <c r="J47" i="15" s="1"/>
  <c r="J49" i="15" l="1"/>
  <c r="J48" i="15"/>
  <c r="BL14" i="15"/>
  <c r="BL47" i="15" s="1"/>
  <c r="BF14" i="15"/>
  <c r="BF47" i="15" s="1"/>
  <c r="AZ14" i="15"/>
  <c r="AZ47" i="15" s="1"/>
  <c r="AT14" i="15"/>
  <c r="AT47" i="15" s="1"/>
  <c r="AN18" i="15"/>
  <c r="AN14" i="15" s="1"/>
  <c r="AN47" i="15" s="1"/>
  <c r="AH14" i="15"/>
  <c r="AH47" i="15" s="1"/>
  <c r="AB14" i="15"/>
  <c r="AB47" i="15" s="1"/>
  <c r="V18" i="15"/>
  <c r="V14" i="15" s="1"/>
  <c r="V47" i="15" s="1"/>
  <c r="P18" i="15"/>
  <c r="P14" i="15" s="1"/>
  <c r="P47" i="15" s="1"/>
  <c r="BI14" i="15"/>
  <c r="BI47" i="15" s="1"/>
  <c r="BC14" i="15"/>
  <c r="BC47" i="15" s="1"/>
  <c r="AW18" i="15"/>
  <c r="AW14" i="15" s="1"/>
  <c r="AW47" i="15" s="1"/>
  <c r="AQ18" i="15"/>
  <c r="AQ14" i="15" s="1"/>
  <c r="AQ47" i="15" s="1"/>
  <c r="AK18" i="15"/>
  <c r="AK14" i="15" s="1"/>
  <c r="AK47" i="15" s="1"/>
  <c r="AE18" i="15"/>
  <c r="AE14" i="15" s="1"/>
  <c r="AE47" i="15" s="1"/>
  <c r="Y14" i="15"/>
  <c r="Y47" i="15" s="1"/>
  <c r="S14" i="15"/>
  <c r="S47" i="15" s="1"/>
  <c r="M14" i="15"/>
  <c r="M47" i="15" s="1"/>
  <c r="H49" i="15"/>
  <c r="H48" i="15"/>
  <c r="M49" i="15" l="1"/>
  <c r="M48" i="15"/>
  <c r="AH49" i="15"/>
  <c r="AH48" i="15"/>
  <c r="S49" i="15"/>
  <c r="S48" i="15"/>
  <c r="S50" i="15" s="1"/>
  <c r="AQ49" i="15"/>
  <c r="AQ48" i="15"/>
  <c r="AQ50" i="15" s="1"/>
  <c r="AQ51" i="15" s="1"/>
  <c r="P49" i="15"/>
  <c r="P48" i="15"/>
  <c r="AN48" i="15"/>
  <c r="AN49" i="15"/>
  <c r="BL48" i="15"/>
  <c r="BL49" i="15"/>
  <c r="BI49" i="15"/>
  <c r="BI48" i="15"/>
  <c r="AW49" i="15"/>
  <c r="AW48" i="15"/>
  <c r="AW50" i="15" s="1"/>
  <c r="AW51" i="15" s="1"/>
  <c r="V48" i="15"/>
  <c r="V50" i="15" s="1"/>
  <c r="V49" i="15"/>
  <c r="AT49" i="15"/>
  <c r="AT48" i="15"/>
  <c r="AK49" i="15"/>
  <c r="AK48" i="15"/>
  <c r="BF49" i="15"/>
  <c r="BF48" i="15"/>
  <c r="BF50" i="15" s="1"/>
  <c r="BF51" i="15" s="1"/>
  <c r="BF52" i="15" s="1"/>
  <c r="BF53" i="15" s="1"/>
  <c r="BF59" i="15" s="1"/>
  <c r="Y48" i="15"/>
  <c r="Y49" i="15"/>
  <c r="AE48" i="15"/>
  <c r="AE49" i="15"/>
  <c r="BC49" i="15"/>
  <c r="BC48" i="15"/>
  <c r="AB48" i="15"/>
  <c r="AB49" i="15"/>
  <c r="AZ48" i="15"/>
  <c r="AZ49" i="15"/>
  <c r="J50" i="15"/>
  <c r="H50" i="15"/>
  <c r="H51" i="15" s="1"/>
  <c r="H52" i="15" s="1"/>
  <c r="H53" i="15" s="1"/>
  <c r="H59" i="15" s="1"/>
  <c r="H60" i="15" s="1"/>
  <c r="H24" i="107" s="1"/>
  <c r="BC50" i="15" l="1"/>
  <c r="BC51" i="15" s="1"/>
  <c r="BC52" i="15" s="1"/>
  <c r="BC53" i="15" s="1"/>
  <c r="BC59" i="15" s="1"/>
  <c r="AK50" i="15"/>
  <c r="AK51" i="15" s="1"/>
  <c r="AK52" i="15" s="1"/>
  <c r="AK53" i="15" s="1"/>
  <c r="AK59" i="15" s="1"/>
  <c r="AN50" i="15"/>
  <c r="AN51" i="15" s="1"/>
  <c r="AN52" i="15" s="1"/>
  <c r="AN53" i="15" s="1"/>
  <c r="AN59" i="15" s="1"/>
  <c r="P50" i="15"/>
  <c r="P51" i="15" s="1"/>
  <c r="P52" i="15" s="1"/>
  <c r="P53" i="15" s="1"/>
  <c r="P59" i="15" s="1"/>
  <c r="BI50" i="15"/>
  <c r="BI51" i="15" s="1"/>
  <c r="AZ50" i="15"/>
  <c r="BA50" i="15" s="1"/>
  <c r="BA60" i="15" s="1"/>
  <c r="AT50" i="15"/>
  <c r="AU50" i="15" s="1"/>
  <c r="AU60" i="15" s="1"/>
  <c r="Y50" i="15"/>
  <c r="Z50" i="15" s="1"/>
  <c r="Z60" i="15" s="1"/>
  <c r="M50" i="15"/>
  <c r="M51" i="15" s="1"/>
  <c r="M52" i="15" s="1"/>
  <c r="M53" i="15" s="1"/>
  <c r="M59" i="15" s="1"/>
  <c r="W50" i="15"/>
  <c r="W60" i="15" s="1"/>
  <c r="T50" i="15"/>
  <c r="T60" i="15" s="1"/>
  <c r="K50" i="15"/>
  <c r="K60" i="15" s="1"/>
  <c r="AL50" i="15"/>
  <c r="AL60" i="15" s="1"/>
  <c r="AW52" i="15"/>
  <c r="AW53" i="15"/>
  <c r="AW59" i="15" s="1"/>
  <c r="AR50" i="15"/>
  <c r="AR60" i="15" s="1"/>
  <c r="BI52" i="15"/>
  <c r="BI53" i="15" s="1"/>
  <c r="BI59" i="15" s="1"/>
  <c r="AE50" i="15"/>
  <c r="BJ50" i="15"/>
  <c r="BJ60" i="15" s="1"/>
  <c r="V51" i="15"/>
  <c r="Q50" i="15"/>
  <c r="Q60" i="15" s="1"/>
  <c r="N50" i="15"/>
  <c r="N60" i="15" s="1"/>
  <c r="M60" i="15" s="1"/>
  <c r="E45" i="107" s="1"/>
  <c r="AO50" i="15"/>
  <c r="AO60" i="15" s="1"/>
  <c r="AQ52" i="15"/>
  <c r="AQ53" i="15" s="1"/>
  <c r="AQ59" i="15" s="1"/>
  <c r="BL50" i="15"/>
  <c r="BG50" i="15"/>
  <c r="BG60" i="15" s="1"/>
  <c r="BF60" i="15" s="1"/>
  <c r="E60" i="107" s="1"/>
  <c r="AX50" i="15"/>
  <c r="AX60" i="15" s="1"/>
  <c r="AB50" i="15"/>
  <c r="S51" i="15"/>
  <c r="AH50" i="15"/>
  <c r="J51" i="15"/>
  <c r="J52" i="15" s="1"/>
  <c r="J53" i="15" s="1"/>
  <c r="J59" i="15" s="1"/>
  <c r="E54" i="107"/>
  <c r="E53" i="107"/>
  <c r="E51" i="107"/>
  <c r="E48" i="107"/>
  <c r="Y51" i="15" l="1"/>
  <c r="Y52" i="15" s="1"/>
  <c r="Y53" i="15" s="1"/>
  <c r="Y59" i="15" s="1"/>
  <c r="BD50" i="15"/>
  <c r="BD60" i="15" s="1"/>
  <c r="BC60" i="15" s="1"/>
  <c r="E59" i="107" s="1"/>
  <c r="M59" i="107" s="1"/>
  <c r="AT51" i="15"/>
  <c r="AT52" i="15" s="1"/>
  <c r="AT53" i="15" s="1"/>
  <c r="AT59" i="15" s="1"/>
  <c r="BI60" i="15"/>
  <c r="E61" i="107" s="1"/>
  <c r="AZ51" i="15"/>
  <c r="AZ52" i="15" s="1"/>
  <c r="AZ53" i="15" s="1"/>
  <c r="AZ59" i="15" s="1"/>
  <c r="AZ60" i="15" s="1"/>
  <c r="E58" i="107" s="1"/>
  <c r="J60" i="15"/>
  <c r="E44" i="107" s="1"/>
  <c r="F44" i="107" s="1"/>
  <c r="S52" i="15"/>
  <c r="S53" i="15" s="1"/>
  <c r="S59" i="15" s="1"/>
  <c r="S60" i="15" s="1"/>
  <c r="E47" i="107" s="1"/>
  <c r="AF50" i="15"/>
  <c r="AF60" i="15" s="1"/>
  <c r="AE51" i="15"/>
  <c r="AE52" i="15" s="1"/>
  <c r="AE53" i="15" s="1"/>
  <c r="AE59" i="15" s="1"/>
  <c r="AC50" i="15"/>
  <c r="AC60" i="15" s="1"/>
  <c r="AB51" i="15"/>
  <c r="AB52" i="15" s="1"/>
  <c r="AB53" i="15" s="1"/>
  <c r="AB59" i="15" s="1"/>
  <c r="BM50" i="15"/>
  <c r="BM60" i="15" s="1"/>
  <c r="BL51" i="15"/>
  <c r="AT60" i="15"/>
  <c r="E56" i="107" s="1"/>
  <c r="I56" i="107" s="1"/>
  <c r="V52" i="15"/>
  <c r="V53" i="15" s="1"/>
  <c r="V59" i="15" s="1"/>
  <c r="AI50" i="15"/>
  <c r="AI60" i="15" s="1"/>
  <c r="AH51" i="15"/>
  <c r="AH52" i="15" s="1"/>
  <c r="AH53" i="15" s="1"/>
  <c r="AH59" i="15" s="1"/>
  <c r="Y60" i="15"/>
  <c r="E49" i="107" s="1"/>
  <c r="I49" i="107" s="1"/>
  <c r="E55" i="107"/>
  <c r="M55" i="107" s="1"/>
  <c r="E46" i="107"/>
  <c r="O46" i="107" s="1"/>
  <c r="E57" i="107"/>
  <c r="F55" i="107"/>
  <c r="O55" i="107"/>
  <c r="F60" i="107"/>
  <c r="I60" i="107"/>
  <c r="M60" i="107"/>
  <c r="G60" i="107"/>
  <c r="F32" i="10" s="1"/>
  <c r="E32" i="10"/>
  <c r="O51" i="107"/>
  <c r="G51" i="107"/>
  <c r="F23" i="10" s="1"/>
  <c r="E23" i="10"/>
  <c r="I51" i="107"/>
  <c r="F51" i="107"/>
  <c r="M51" i="107"/>
  <c r="M54" i="107"/>
  <c r="O54" i="107"/>
  <c r="G54" i="107"/>
  <c r="F26" i="10" s="1"/>
  <c r="F54" i="107"/>
  <c r="I54" i="107"/>
  <c r="E26" i="10"/>
  <c r="G45" i="107"/>
  <c r="F17" i="10" s="1"/>
  <c r="I45" i="107"/>
  <c r="F45" i="107"/>
  <c r="M45" i="107"/>
  <c r="E17" i="10"/>
  <c r="I53" i="107"/>
  <c r="O53" i="107"/>
  <c r="F53" i="107"/>
  <c r="M53" i="107"/>
  <c r="G53" i="107"/>
  <c r="F25" i="10" s="1"/>
  <c r="E25" i="10"/>
  <c r="O48" i="107"/>
  <c r="I48" i="107"/>
  <c r="F48" i="107"/>
  <c r="M48" i="107"/>
  <c r="G48" i="107"/>
  <c r="F20" i="10" s="1"/>
  <c r="E20" i="10"/>
  <c r="O59" i="107" l="1"/>
  <c r="F59" i="107"/>
  <c r="I59" i="107"/>
  <c r="G59" i="107"/>
  <c r="F31" i="10" s="1"/>
  <c r="E31" i="10"/>
  <c r="O45" i="107"/>
  <c r="F61" i="107"/>
  <c r="O60" i="107"/>
  <c r="AH60" i="15"/>
  <c r="E52" i="107" s="1"/>
  <c r="G52" i="107" s="1"/>
  <c r="F24" i="10" s="1"/>
  <c r="AB60" i="15"/>
  <c r="E50" i="107" s="1"/>
  <c r="G50" i="107" s="1"/>
  <c r="F22" i="10" s="1"/>
  <c r="F49" i="107"/>
  <c r="M49" i="107"/>
  <c r="E21" i="10"/>
  <c r="G49" i="107"/>
  <c r="F21" i="10" s="1"/>
  <c r="M44" i="107"/>
  <c r="G44" i="107"/>
  <c r="F16" i="10" s="1"/>
  <c r="E16" i="10"/>
  <c r="I44" i="107"/>
  <c r="O44" i="107"/>
  <c r="M56" i="107"/>
  <c r="G56" i="107"/>
  <c r="F28" i="10" s="1"/>
  <c r="G61" i="107"/>
  <c r="F33" i="10" s="1"/>
  <c r="O56" i="107"/>
  <c r="O47" i="107"/>
  <c r="I47" i="107"/>
  <c r="G47" i="107"/>
  <c r="F19" i="10" s="1"/>
  <c r="M47" i="107"/>
  <c r="E19" i="10"/>
  <c r="F47" i="107"/>
  <c r="F56" i="107"/>
  <c r="I55" i="107"/>
  <c r="BL52" i="15"/>
  <c r="BL53" i="15" s="1"/>
  <c r="BL59" i="15" s="1"/>
  <c r="BL60" i="15" s="1"/>
  <c r="E62" i="107" s="1"/>
  <c r="E28" i="10"/>
  <c r="E27" i="10"/>
  <c r="M46" i="107"/>
  <c r="I46" i="107"/>
  <c r="E18" i="10"/>
  <c r="F46" i="107"/>
  <c r="G46" i="107"/>
  <c r="F18" i="10" s="1"/>
  <c r="E33" i="10"/>
  <c r="G55" i="107"/>
  <c r="F27" i="10" s="1"/>
  <c r="F58" i="107"/>
  <c r="G58" i="107"/>
  <c r="F30" i="10" s="1"/>
  <c r="E30" i="10"/>
  <c r="M58" i="107"/>
  <c r="I58" i="107"/>
  <c r="O58" i="107"/>
  <c r="E29" i="10"/>
  <c r="F57" i="107"/>
  <c r="I57" i="107"/>
  <c r="M57" i="107"/>
  <c r="O57" i="107"/>
  <c r="G57" i="107"/>
  <c r="F29" i="10" s="1"/>
  <c r="F62" i="107" l="1"/>
  <c r="O61" i="107"/>
  <c r="E34" i="10"/>
  <c r="O62" i="107"/>
  <c r="F52" i="107"/>
  <c r="M52" i="107"/>
  <c r="E24" i="10"/>
  <c r="I52" i="107"/>
  <c r="O52" i="107"/>
  <c r="E22" i="10"/>
  <c r="M50" i="107"/>
  <c r="O49" i="107"/>
  <c r="F50" i="107"/>
  <c r="O50" i="107"/>
  <c r="I50" i="107"/>
  <c r="G62" i="107"/>
  <c r="F34" i="10" s="1"/>
  <c r="N56" i="107" l="1"/>
  <c r="N54" i="107"/>
  <c r="N44" i="107"/>
  <c r="N46" i="107"/>
  <c r="N57" i="107"/>
  <c r="N50" i="107"/>
  <c r="N60" i="107"/>
  <c r="N48" i="107"/>
  <c r="N47" i="107"/>
  <c r="N58" i="107"/>
  <c r="N55" i="107"/>
  <c r="N51" i="107"/>
  <c r="N53" i="107"/>
  <c r="N62" i="107"/>
  <c r="N49" i="107"/>
  <c r="N61" i="107"/>
  <c r="N59" i="107"/>
  <c r="H18" i="107"/>
  <c r="N52" i="107"/>
  <c r="N45" i="107"/>
  <c r="H32" i="107" l="1"/>
  <c r="H34" i="107" s="1"/>
  <c r="H33" i="107"/>
  <c r="H23" i="107"/>
  <c r="H22" i="107"/>
  <c r="H19" i="107"/>
  <c r="H20" i="107"/>
  <c r="H21" i="107"/>
  <c r="H28" i="107" s="1"/>
  <c r="H35" i="107" l="1"/>
  <c r="L44" i="107" s="1"/>
  <c r="J47" i="107"/>
  <c r="J57" i="107"/>
  <c r="J55" i="107"/>
  <c r="J59" i="107"/>
  <c r="J50" i="107"/>
  <c r="J51" i="107"/>
  <c r="J45" i="107"/>
  <c r="J56" i="107"/>
  <c r="J60" i="107"/>
  <c r="J44" i="107"/>
  <c r="J54" i="107"/>
  <c r="J58" i="107"/>
  <c r="J53" i="107"/>
  <c r="J46" i="107"/>
  <c r="J48" i="107"/>
  <c r="J52" i="107"/>
  <c r="J49" i="107"/>
  <c r="H30" i="107"/>
  <c r="L46" i="107"/>
  <c r="L55" i="107"/>
  <c r="L53" i="107"/>
  <c r="L51" i="107"/>
  <c r="L54" i="107"/>
  <c r="L58" i="107"/>
  <c r="L57" i="107"/>
  <c r="L59" i="107"/>
  <c r="L48" i="107"/>
  <c r="H38" i="107" l="1"/>
  <c r="H50" i="107" s="1"/>
  <c r="G22" i="10" s="1"/>
  <c r="K22" i="10" s="1"/>
  <c r="L52" i="107"/>
  <c r="L56" i="107"/>
  <c r="L49" i="107"/>
  <c r="L47" i="107"/>
  <c r="L45" i="107"/>
  <c r="L50" i="107"/>
  <c r="L60" i="107"/>
  <c r="H51" i="107"/>
  <c r="G23" i="10" s="1"/>
  <c r="K23" i="10" s="1"/>
  <c r="H46" i="107"/>
  <c r="G18" i="10" s="1"/>
  <c r="K18" i="10" s="1"/>
  <c r="H58" i="107"/>
  <c r="G30" i="10" s="1"/>
  <c r="K30" i="10" s="1"/>
  <c r="H53" i="107"/>
  <c r="G25" i="10" s="1"/>
  <c r="K25" i="10" s="1"/>
  <c r="H57" i="107"/>
  <c r="G29" i="10" s="1"/>
  <c r="K29" i="10" s="1"/>
  <c r="H54" i="107"/>
  <c r="G26" i="10" s="1"/>
  <c r="K26" i="10" s="1"/>
  <c r="H55" i="107"/>
  <c r="G27" i="10" s="1"/>
  <c r="K27" i="10" s="1"/>
  <c r="H59" i="107"/>
  <c r="G31" i="10" s="1"/>
  <c r="K31" i="10" s="1"/>
  <c r="H44" i="107"/>
  <c r="H48" i="107"/>
  <c r="G20" i="10" s="1"/>
  <c r="K20" i="10" s="1"/>
  <c r="K53" i="107"/>
  <c r="K44" i="107"/>
  <c r="K58" i="107"/>
  <c r="K51" i="107"/>
  <c r="K45" i="107"/>
  <c r="K57" i="107"/>
  <c r="K59" i="107"/>
  <c r="K56" i="107"/>
  <c r="K50" i="107"/>
  <c r="K46" i="107"/>
  <c r="K60" i="107"/>
  <c r="K49" i="107"/>
  <c r="K47" i="107"/>
  <c r="K55" i="107"/>
  <c r="K52" i="107"/>
  <c r="K54" i="107"/>
  <c r="K48" i="107"/>
  <c r="H52" i="107" l="1"/>
  <c r="G24" i="10" s="1"/>
  <c r="K24" i="10" s="1"/>
  <c r="H61" i="107"/>
  <c r="G33" i="10" s="1"/>
  <c r="K33" i="10" s="1"/>
  <c r="H68" i="107"/>
  <c r="H67" i="107"/>
  <c r="H62" i="107"/>
  <c r="G34" i="10" s="1"/>
  <c r="K34" i="10" s="1"/>
  <c r="H47" i="107"/>
  <c r="G19" i="10" s="1"/>
  <c r="K19" i="10" s="1"/>
  <c r="H56" i="107"/>
  <c r="G28" i="10" s="1"/>
  <c r="K28" i="10" s="1"/>
  <c r="H49" i="107"/>
  <c r="G21" i="10" s="1"/>
  <c r="K21" i="10" s="1"/>
  <c r="H60" i="107"/>
  <c r="G32" i="10" s="1"/>
  <c r="K32" i="10" s="1"/>
  <c r="H45" i="107"/>
  <c r="G17" i="10" s="1"/>
  <c r="K17" i="10" s="1"/>
  <c r="G16" i="10"/>
  <c r="K16" i="10" s="1"/>
  <c r="H66" i="107"/>
  <c r="H74" i="107" l="1"/>
  <c r="O16" i="10"/>
  <c r="O22" i="10"/>
  <c r="O28" i="10"/>
  <c r="O33" i="10"/>
  <c r="O29" i="10"/>
  <c r="O21" i="10"/>
  <c r="O26" i="10"/>
  <c r="O25" i="10"/>
  <c r="O24" i="10"/>
  <c r="O30" i="10"/>
  <c r="O17" i="10"/>
  <c r="O19" i="10"/>
  <c r="O23" i="10"/>
  <c r="O27" i="10"/>
  <c r="O18" i="10"/>
  <c r="O32" i="10"/>
  <c r="O31" i="10"/>
  <c r="O20" i="10"/>
  <c r="O34" i="10"/>
  <c r="H69" i="107"/>
  <c r="H70" i="107"/>
  <c r="H71" i="107"/>
  <c r="Q29" i="10" l="1"/>
  <c r="S29" i="10" s="1"/>
  <c r="Q30" i="10"/>
  <c r="Q22" i="10"/>
  <c r="Q17" i="10"/>
  <c r="Q31" i="10"/>
  <c r="Q33" i="10"/>
  <c r="Q23" i="10"/>
  <c r="Q20" i="10"/>
  <c r="Q24" i="10"/>
  <c r="Q19" i="10"/>
  <c r="Q27" i="10"/>
  <c r="Q25" i="10"/>
  <c r="Q32" i="10"/>
  <c r="Q28" i="10"/>
  <c r="Q21" i="10"/>
  <c r="Q34" i="10"/>
  <c r="Q16" i="10"/>
  <c r="Q26" i="10"/>
  <c r="Q18" i="10"/>
  <c r="R29" i="10" l="1"/>
  <c r="R34" i="10"/>
  <c r="S34" i="10"/>
  <c r="S32" i="10"/>
  <c r="R32" i="10"/>
  <c r="R17" i="10"/>
  <c r="S17" i="10"/>
  <c r="P13" i="10"/>
  <c r="P36" i="10" s="1"/>
  <c r="R16" i="10"/>
  <c r="S16" i="10"/>
  <c r="S19" i="10"/>
  <c r="R19" i="10"/>
  <c r="S24" i="10"/>
  <c r="R24" i="10"/>
  <c r="R22" i="10"/>
  <c r="S22" i="10"/>
  <c r="R30" i="10"/>
  <c r="S30" i="10"/>
  <c r="R18" i="10"/>
  <c r="S18" i="10"/>
  <c r="S26" i="10"/>
  <c r="R26" i="10"/>
  <c r="R28" i="10"/>
  <c r="S28" i="10"/>
  <c r="S25" i="10"/>
  <c r="R25" i="10"/>
  <c r="R27" i="10"/>
  <c r="S27" i="10"/>
  <c r="S23" i="10"/>
  <c r="R23" i="10"/>
  <c r="S33" i="10"/>
  <c r="R33" i="10"/>
  <c r="R31" i="10"/>
  <c r="S31" i="10"/>
  <c r="R21" i="10"/>
  <c r="S21" i="10"/>
  <c r="R20" i="10"/>
  <c r="S20" i="10"/>
</calcChain>
</file>

<file path=xl/sharedStrings.xml><?xml version="1.0" encoding="utf-8"?>
<sst xmlns="http://schemas.openxmlformats.org/spreadsheetml/2006/main" count="417" uniqueCount="212">
  <si>
    <t>PRESUPUESTO OFICIAL</t>
  </si>
  <si>
    <t>UNIDAD</t>
  </si>
  <si>
    <t>VR PARCIAL</t>
  </si>
  <si>
    <t xml:space="preserve"> </t>
  </si>
  <si>
    <t>PUNTAJE</t>
  </si>
  <si>
    <t>PROPONENTE</t>
  </si>
  <si>
    <t>CANTIDAD</t>
  </si>
  <si>
    <t>NO ADMISIBLE</t>
  </si>
  <si>
    <t>ADMISIBLE</t>
  </si>
  <si>
    <t>JERARQUIA</t>
  </si>
  <si>
    <t>PROP. No.</t>
  </si>
  <si>
    <t>RECHAZO</t>
  </si>
  <si>
    <t>(%)</t>
  </si>
  <si>
    <t>&lt;0</t>
  </si>
  <si>
    <t>RESULTADO FINAL DEL PROCESO DE EVALUACIÓN</t>
  </si>
  <si>
    <t>CALIFICACIÓN OBTENIDA</t>
  </si>
  <si>
    <t>PUNTAJES OTORGADOS A LOS SIGUIENTES CRITERIOS:</t>
  </si>
  <si>
    <t>TOTALES</t>
  </si>
  <si>
    <t>DEPENDENCIAS</t>
  </si>
  <si>
    <t>ID</t>
  </si>
  <si>
    <t>CUADRO No. 1</t>
  </si>
  <si>
    <t>CUADRO No. 3</t>
  </si>
  <si>
    <t>DETERMINACIÓN DEL PUNTAJE POR VALOR DE LA PROPUESTA</t>
  </si>
  <si>
    <t>PROPUESTA ECONÓMICA</t>
  </si>
  <si>
    <t>($)</t>
  </si>
  <si>
    <t>PORCENTAJE DE MEJORA</t>
  </si>
  <si>
    <t>RESULTADO</t>
  </si>
  <si>
    <t>CUADRO No. 4</t>
  </si>
  <si>
    <t>PROPUESTA NUMERO</t>
  </si>
  <si>
    <t>RESÚMEN DE LA PONDERACIÓN OTORGADA</t>
  </si>
  <si>
    <t>Precio</t>
  </si>
  <si>
    <t>PUNTAJE DEFINITIVO</t>
  </si>
  <si>
    <t>CIFRA DE AJUSTE</t>
  </si>
  <si>
    <t>CUADRO No. 5</t>
  </si>
  <si>
    <t>ORDEN DE ELEGIBILIDAD</t>
  </si>
  <si>
    <t>CONSECUTIVO</t>
  </si>
  <si>
    <t>NOTAS ACLARATORIAS PARA RECHAZO DE LA PROPUESTA ECONÓMICA</t>
  </si>
  <si>
    <t>TOTAL</t>
  </si>
  <si>
    <t>VR PARCIAL
(1)</t>
  </si>
  <si>
    <t>Determinación del Método para la Ponderación de la Propuesta Económica</t>
  </si>
  <si>
    <t xml:space="preserve">Valor = </t>
  </si>
  <si>
    <t>CENTESIMAS =</t>
  </si>
  <si>
    <t>Parámetros para la ponderación de la propuesta económica</t>
  </si>
  <si>
    <t>Número de propuestas válidas</t>
  </si>
  <si>
    <t>Puntaje propuesta Económica</t>
  </si>
  <si>
    <t>Media artimética (X)</t>
  </si>
  <si>
    <r>
      <t>Media artimética alta (X</t>
    </r>
    <r>
      <rPr>
        <b/>
        <sz val="6"/>
        <rFont val="Arial"/>
        <family val="2"/>
      </rPr>
      <t>A</t>
    </r>
    <r>
      <rPr>
        <b/>
        <sz val="8"/>
        <rFont val="Arial"/>
        <family val="2"/>
      </rPr>
      <t>)</t>
    </r>
  </si>
  <si>
    <t>Mínimo</t>
  </si>
  <si>
    <t>Máximo</t>
  </si>
  <si>
    <t>CON RESPECTO A M1</t>
  </si>
  <si>
    <t>CON RESPECTO A M2</t>
  </si>
  <si>
    <t>CON RESPECTO A M3</t>
  </si>
  <si>
    <t>CON RESPECTO A M4</t>
  </si>
  <si>
    <t>CON RESPECTO A PO</t>
  </si>
  <si>
    <t>Media Aritmética =X</t>
  </si>
  <si>
    <t>Mediana= Me</t>
  </si>
  <si>
    <t>Desviación estándar =S</t>
  </si>
  <si>
    <t>Presupuesto Oficial</t>
  </si>
  <si>
    <t>1. Media Aritmética</t>
  </si>
  <si>
    <t>2. Media Aritmética Alta</t>
  </si>
  <si>
    <t>Estadistico usado para ponderar :</t>
  </si>
  <si>
    <t>(Puntos)</t>
  </si>
  <si>
    <t>PONDERACIÓN</t>
  </si>
  <si>
    <t>Estado de la Ponderación</t>
  </si>
  <si>
    <t>Indicador</t>
  </si>
  <si>
    <t>Cantidad</t>
  </si>
  <si>
    <t>Número total de propuestas descartadas</t>
  </si>
  <si>
    <t>Número de propuestas superiores al estadistico de ponderación</t>
  </si>
  <si>
    <t>Número de propuestas inferiores o iguales al estadistico de ponderación</t>
  </si>
  <si>
    <t>Descuento de la propuesta con mayor ponderación</t>
  </si>
  <si>
    <t>Propuesta con mayor ponderación</t>
  </si>
  <si>
    <t>Número propuesta con mayor ponderación</t>
  </si>
  <si>
    <t>Apoyo a la industria nacional</t>
  </si>
  <si>
    <t>MÉTODO DE PONDERACIÓN =</t>
  </si>
  <si>
    <r>
      <t>Producto (1x10</t>
    </r>
    <r>
      <rPr>
        <b/>
        <vertAlign val="superscript"/>
        <sz val="9"/>
        <rFont val="Arial"/>
        <family val="2"/>
      </rPr>
      <t>9</t>
    </r>
    <r>
      <rPr>
        <b/>
        <sz val="10"/>
        <rFont val="Arial"/>
        <family val="2"/>
      </rPr>
      <t>)</t>
    </r>
  </si>
  <si>
    <r>
      <t>Po</t>
    </r>
    <r>
      <rPr>
        <b/>
        <vertAlign val="superscript"/>
        <sz val="9"/>
        <rFont val="Arial"/>
        <family val="2"/>
      </rPr>
      <t>nv</t>
    </r>
    <r>
      <rPr>
        <b/>
        <sz val="9"/>
        <rFont val="Arial"/>
        <family val="2"/>
      </rPr>
      <t>(1x10</t>
    </r>
    <r>
      <rPr>
        <b/>
        <vertAlign val="superscript"/>
        <sz val="9"/>
        <rFont val="Arial"/>
        <family val="2"/>
      </rPr>
      <t>9</t>
    </r>
    <r>
      <rPr>
        <b/>
        <sz val="9"/>
        <rFont val="Arial"/>
        <family val="2"/>
      </rPr>
      <t>)</t>
    </r>
  </si>
  <si>
    <r>
      <t>($1x10</t>
    </r>
    <r>
      <rPr>
        <b/>
        <vertAlign val="superscript"/>
        <sz val="11"/>
        <rFont val="Arial"/>
        <family val="2"/>
      </rPr>
      <t>9</t>
    </r>
    <r>
      <rPr>
        <b/>
        <sz val="11"/>
        <rFont val="Arial"/>
        <family val="2"/>
      </rPr>
      <t>)</t>
    </r>
  </si>
  <si>
    <t>PROPONENTE NÚMERO</t>
  </si>
  <si>
    <t>NOMBRE PROPONENTE</t>
  </si>
  <si>
    <t>Número Propuesta</t>
  </si>
  <si>
    <t>Orden</t>
  </si>
  <si>
    <t>NOTAS ACLARATORIAS DE LA PROPUESTA ECONÓMICA</t>
  </si>
  <si>
    <t>CUADRO No. 2 - VERIFICACIÓN DE LAS PROPUESTAS ECONÓNICAS</t>
  </si>
  <si>
    <t>Último Método Utilizado</t>
  </si>
  <si>
    <t>MÉTODOS DE EVALUACIÓN</t>
  </si>
  <si>
    <t>MEDIA ARITMÉTICA</t>
  </si>
  <si>
    <t>MEDIA ARITMÉTICA ALTA</t>
  </si>
  <si>
    <t>NO APLICA</t>
  </si>
  <si>
    <t>TRM DEL DÍA DE LA INSTALACIÓN DE LA AUDIENCIA DE ASIGNACIÓN DE PUNTAJE</t>
  </si>
  <si>
    <t>NO MODIFICAR</t>
  </si>
  <si>
    <t>DESCRIPCIÓN</t>
  </si>
  <si>
    <t>FIDUPREVISORA</t>
  </si>
  <si>
    <t>PATRIMONIO AUTÓNOMO FIDEICOMISO ECOPETROL ZOMAC (en adelante PATRIMONIO AUTÓNOMO) FIDUCIARIA LA PREVISORA S.A.</t>
  </si>
  <si>
    <t>TOTAL AIU</t>
  </si>
  <si>
    <t>IVA SOBRE LA UTILIDAD</t>
  </si>
  <si>
    <t>No. de Proyectos del Proceso</t>
  </si>
  <si>
    <t>VALOR PROPUESTA ECONÓMICA CORREGIDA</t>
  </si>
  <si>
    <t>VALOR PROPUESTA ECONÓMICA</t>
  </si>
  <si>
    <t>LICITACIÓN PRIVADA ABIERTA N° 006 DE 2018</t>
  </si>
  <si>
    <t>3. Media Geométrica con presupuesto estimado</t>
  </si>
  <si>
    <t>Número de veces que se debe incluir el PE = nv</t>
  </si>
  <si>
    <t>Media geométrica con presupuesto estimado aproximado a números enteros = Mgpo</t>
  </si>
  <si>
    <t>MEDIA GEOMÉTRICA CON PRESUPUESTO ESTIMADO</t>
  </si>
  <si>
    <t>PRESUPUESTO ESTIMADO</t>
  </si>
  <si>
    <t>VALOR UNITARIO</t>
  </si>
  <si>
    <t>VU vs PE</t>
  </si>
  <si>
    <t>PROYECTO No. 3: MEJORAMIENTO MEDIANTE LA PAVIMENTACIÓN DE LA CALLE 17 ENTRE LA VÍA NACIONAL Y LA VILLA OLÍMPICA DEL MUNICIPIO DE SAN MARTÍN, DEPARTAMENTO DEL META VINCULADOS AL CONTRIBUYENTE ECOPETROL S.A. DENTRO DEL MARCO DEL MECANISMO DE OBRAS POR IMPUESTOS</t>
  </si>
  <si>
    <t>TOTAL COSTO DIRECTO</t>
  </si>
  <si>
    <t>ADMINISTRACIÓN + IMPREVISTOS</t>
  </si>
  <si>
    <t>UTILIDADES</t>
  </si>
  <si>
    <t>GRAN TOTAL DE LA OBRA VÍA CON AIU ( SIN IVA)</t>
  </si>
  <si>
    <t>GRAN TOTAL OBRA DE LA VÍA CON AIU E IVA</t>
  </si>
  <si>
    <t>REVISIÓN Y/O AJUSTE Y/O ACTUALIZACIÓN Y/O MODIFICACIÓN Y/O COMPLEMENTACIÓN DE ESTUDIOS Y DISEÑOS EXISTENTES INCLUIDO IVA</t>
  </si>
  <si>
    <t xml:space="preserve">COMPONENTE SOCIAL </t>
  </si>
  <si>
    <t>COMPONENTE PMT</t>
  </si>
  <si>
    <t>COMPONENTE AMBIENTAL SGSST - SGA - PAGA</t>
  </si>
  <si>
    <t>TOTAL COSTO COMPONENTES</t>
  </si>
  <si>
    <t>PRESUPUESTO TOTAL</t>
  </si>
  <si>
    <t>1 - MOVIMIENTO DE TIERRAS</t>
  </si>
  <si>
    <t>2 - DEMOLICIONES</t>
  </si>
  <si>
    <t>3 - ESTRUCTURA DE PAVIMENTO</t>
  </si>
  <si>
    <t>4 - SARDINELES</t>
  </si>
  <si>
    <t>5 - MOBILIARIO URBANO</t>
  </si>
  <si>
    <t>6 - ALCANTARILLADO PLUVIAL</t>
  </si>
  <si>
    <t>ÍTEM</t>
  </si>
  <si>
    <t>1.1</t>
  </si>
  <si>
    <t>1.2</t>
  </si>
  <si>
    <t>1.3</t>
  </si>
  <si>
    <t>1.4</t>
  </si>
  <si>
    <t>2.1</t>
  </si>
  <si>
    <t>2.2</t>
  </si>
  <si>
    <t>3.1</t>
  </si>
  <si>
    <t>3.2</t>
  </si>
  <si>
    <t>3.4</t>
  </si>
  <si>
    <t>3.3</t>
  </si>
  <si>
    <t>4.1</t>
  </si>
  <si>
    <t>4.2</t>
  </si>
  <si>
    <t>4.3</t>
  </si>
  <si>
    <t>4.4</t>
  </si>
  <si>
    <t>4.5</t>
  </si>
  <si>
    <t>4.6</t>
  </si>
  <si>
    <t>4.7</t>
  </si>
  <si>
    <t>4.8</t>
  </si>
  <si>
    <t>5.1</t>
  </si>
  <si>
    <t>5.2</t>
  </si>
  <si>
    <t>6.1</t>
  </si>
  <si>
    <t>6.2</t>
  </si>
  <si>
    <t>6.3</t>
  </si>
  <si>
    <t>6.4</t>
  </si>
  <si>
    <t>6.5</t>
  </si>
  <si>
    <t>6.6</t>
  </si>
  <si>
    <t>6.7</t>
  </si>
  <si>
    <t>VALOR UNITARIO SUGERIDO</t>
  </si>
  <si>
    <t>EXCAVACIÓN MECÁNICA PARA CAJAS VIAS (INCLUYE CARGUE Y RETIRO DE MATERIAL 5 KM)</t>
  </si>
  <si>
    <t>M3</t>
  </si>
  <si>
    <t>SUMINISTRO E INSTALACIÓN GEOTEXTIL NT 2000</t>
  </si>
  <si>
    <t>M2</t>
  </si>
  <si>
    <t>EXCAVACIÓN MANUAL EN CONGLOMERADO SECO (INCLUYE CARGUE MANUAL Y RETIRO DE ESCOMBROS 5 KM)</t>
  </si>
  <si>
    <t>SOBREACARREO DE MATERIAL FACTOR EXPANSIÓN 20%</t>
  </si>
  <si>
    <t>M3-KM</t>
  </si>
  <si>
    <t>DEMOLICIÓN CONCRETO SIMPLE (INCLUYE CARGUE MANUAL Y RETIRO ESCOMBROS 5 KM)</t>
  </si>
  <si>
    <t>DEMOLICIÓN PAVIMENTO ASFALTICO (INCLUYE CARGUE MECÁNICO Y RETIRO DE ESCOMBROS 5 KM)</t>
  </si>
  <si>
    <t>SUB BASE GRANULAR MATERIAL DE RIO SELECCIONADO HASTA 2" (INCLUYE TRANSPORTE 5 KM)</t>
  </si>
  <si>
    <t>CORTES PAVIMENTO (CONCRETO E=0.10 M)</t>
  </si>
  <si>
    <t>ML</t>
  </si>
  <si>
    <t>ACERO REFUERZO FIGURADO 412 MPa (4200 KGICM2, G60)</t>
  </si>
  <si>
    <t>KG</t>
  </si>
  <si>
    <t xml:space="preserve">SUMINISTRO E INSTALACIÓN SARDINEL PREFABRICADO BLOQUE CEMENTO A-10 SENCILLO INCLUYE LA SUPERFICIE DE CONFORMACION </t>
  </si>
  <si>
    <t xml:space="preserve">BORDILLO PREFABRICADO BLOQUE CEMENTO A-85 INCLUYE LA SUPERFICIE DE CONFORMACION </t>
  </si>
  <si>
    <t xml:space="preserve">BORDILLO PREFABRICADO BLOQUE CEMENTO A-100 INCLUYE LA SUPERFICIE DE CONFORMACION </t>
  </si>
  <si>
    <t xml:space="preserve">BORDILLO PREFABRICADO BLOQUE CEMENTO A-105 INCLUYE LA SUPERFICIE DE CONFORMACION </t>
  </si>
  <si>
    <t>ANDEN CONCRETO 20,7 Mpa (3000 PSI) E=0.10 MTS</t>
  </si>
  <si>
    <t>DILATACIONES EN CUARTERON EN SENTIDO LONGITUDINAL, GRESS</t>
  </si>
  <si>
    <t>RELLENO MATERIAL DE RIO E=2" INCLUYE COMPACTACIÓN MANUAL Y TRANSPORTE DE MATERIAL 5 KM</t>
  </si>
  <si>
    <t>LOSETA A-50; 0.4X0.4X0.06 TIPO IDU</t>
  </si>
  <si>
    <t>SUMINISTRO E INSTALACIÓN CANECA M-120</t>
  </si>
  <si>
    <t>UN</t>
  </si>
  <si>
    <t>SUMINISTRO E INSTALACIÓN BANCA M-30</t>
  </si>
  <si>
    <t>EXCAVACIÓN MECÁNICA EN CONGLOMERADO PARA ALCANTARILLADOS (INCLUYE CARGUE MECÁNICO Y RETIRO DE MATERIALES 5 KM)</t>
  </si>
  <si>
    <t>ARENA PARA BASE DE TUBERÍA (INCLUYE CARGUE, ACARREO Y COMPACTACIÓN)</t>
  </si>
  <si>
    <t>SUMINISTRO E INSTALACIÓN DE TUBERÍA PVC PARA ALCANTARILLADOS 36" (INC. NIVELACIÓN DE PRECISIÓN)</t>
  </si>
  <si>
    <t>M</t>
  </si>
  <si>
    <t>SUMIDERO AGUAS LLUVIAS EN CONCRETO 3000 PSI REFORZADO M ELAB. OBRA, E=0,02 M, SEC 1.0*1.0 REJILLA ENPERFIL U 3X1.1/2X1/42</t>
  </si>
  <si>
    <t>UND</t>
  </si>
  <si>
    <t>PLACA CUBIERTA-POZO INSPECCIÓN D=1,20 M (CONCRETO UN FC=28 MPA ERFORZ ELAB. OBRA, E=0.20 M INC. AROTAPA/BASE</t>
  </si>
  <si>
    <t>REPOSICIÓN DE ACOMETIDA DOMICILIARIA ACUEDUCTO PVC DE 1/2"</t>
  </si>
  <si>
    <t>LOSA DE CONCRETO MR-42 INCLUYE FUNDIDA, FORMALETEADO, BARRAS (TRANSREFENCIA/AMARRE), VIBRADO, TEXTURIZADO, CURADO Y JUNTAS. NO INCLUYE MALLA DE REFUERZO LOSA</t>
  </si>
  <si>
    <t>CONSORCIO VÍAS SAN MARTIN</t>
  </si>
  <si>
    <t>INGECON SA</t>
  </si>
  <si>
    <t>CONSORCIO VÍAS PG</t>
  </si>
  <si>
    <t>CONSORCIO VÍAS 2019</t>
  </si>
  <si>
    <t xml:space="preserve">CONSORCIO PUERTA DEL SOL </t>
  </si>
  <si>
    <t>CONSORCIO VIAL</t>
  </si>
  <si>
    <t>CONSORCIO RENOVACION URBANA</t>
  </si>
  <si>
    <t>CONSORCIO MEJORAMIENTO VIAL 2019</t>
  </si>
  <si>
    <t>INGENIERIA DE PROYECTOS AML SA.S</t>
  </si>
  <si>
    <t>U.T SERVICIOS E INGENIERIA COROCORO</t>
  </si>
  <si>
    <t>CONSORCIO VIAL ARAUCA</t>
  </si>
  <si>
    <t>CONSORCIO A&amp;C</t>
  </si>
  <si>
    <t>CONSORCIO VÍAL SAN MARTÍN</t>
  </si>
  <si>
    <t>CONSORCIO VÍAS COLOMBIA 2019</t>
  </si>
  <si>
    <t>CONSORCIO VÍAS AL LLANO</t>
  </si>
  <si>
    <t>CONSORCIO SAN MARTÍN</t>
  </si>
  <si>
    <t>OCIEEQUIPOS SAS</t>
  </si>
  <si>
    <t>CONSORCIO INFRAESTRUCTURA VIAL</t>
  </si>
  <si>
    <t>CONSORCIO VÍA OLIMPICA 2018</t>
  </si>
  <si>
    <t>CORRECCION ARITMETICA DEBIDO A QUE NO COINCIDE LA OPERACIÓN ARITMETICA DEL PRECIO POR LA CANTIDAD DE ALGUNOS ITEMS DE LA PROPUESTA</t>
  </si>
  <si>
    <t>CORRECCION ARITMETICA DEBIDO A QUE NO COINCIDE LA OPERACIÓN MATEMATICA DEL TOTAL AIU</t>
  </si>
  <si>
    <t xml:space="preserve">SUPERA EL PRESUPUESTO OFICIAL DEL ITEM ARENA PARA BASE DE TUBERIA </t>
  </si>
  <si>
    <t>CORRECCION ARITMETICA DEBIDO A QUE NO COINCIDE LA OPERACIÓN MATEMATICA DEL TORAL AIU</t>
  </si>
  <si>
    <t>CORRECCION ARITMETICA DEBIDO A QUE NO COINCIDE LA OPERACIÓN MATEMATICA DEL AIU</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</si>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</sst>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164" formatCode="_(* #,##0_);_(* \(#,##0\);_(* &quot;-&quot;_);_(@_)"/>
    <numFmt numFmtId="165" formatCode="_(&quot;$&quot;\ * #,##0.00_);_(&quot;$&quot;\ * \(#,##0.00\);_(&quot;$&quot;\ * &quot;-&quot;??_);_(@_)"/>
    <numFmt numFmtId="166" formatCode="_(* #,##0.00_);_(* \(#,##0.00\);_(* &quot;-&quot;??_);_(@_)"/>
    <numFmt numFmtId="167" formatCode="_(&quot;$&quot;* #,##0.00_);_(&quot;$&quot;* \(#,##0.00\);_(&quot;$&quot;* &quot;-&quot;??_);_(@_)"/>
    <numFmt numFmtId="168" formatCode="_-* #,##0.00\ &quot;Pts&quot;_-;\-* #,##0.00\ &quot;Pts&quot;_-;_-* &quot;-&quot;??\ &quot;Pts&quot;_-;_-@_-"/>
    <numFmt numFmtId="169" formatCode="_-* #,##0.00\ _P_t_s_-;\-* #,##0.00\ _P_t_s_-;_-* &quot;-&quot;??\ _P_t_s_-;_-@_-"/>
    <numFmt numFmtId="170" formatCode="#,##0.0"/>
    <numFmt numFmtId="171" formatCode="#,##0.00;[Red]#,##0.00"/>
    <numFmt numFmtId="172" formatCode="&quot;NN&quot;\ 0"/>
    <numFmt numFmtId="173" formatCode="&quot;VALOR PARA EL CONTRATO=$&quot;\ #,##0.00"/>
    <numFmt numFmtId="174" formatCode="#,##0&quot;º&quot;"/>
    <numFmt numFmtId="175" formatCode="0.0000000"/>
    <numFmt numFmtId="176" formatCode="_ [$€-2]\ * #,##0.00_ ;_ [$€-2]\ * \-#,##0.00_ ;_ [$€-2]\ * &quot;-&quot;??_ "/>
    <numFmt numFmtId="177" formatCode="_(* #,##0_);_(* \(#,##0\);_(* &quot;-&quot;??_);_(@_)"/>
    <numFmt numFmtId="178" formatCode="0.0000E+00"/>
    <numFmt numFmtId="179" formatCode="_([$$-240A]\ * #,##0.00_);_([$$-240A]\ * \(#,##0.00\);_([$$-240A]\ * &quot;-&quot;??_);_(@_)"/>
    <numFmt numFmtId="180" formatCode="0.000000000000000E+00"/>
    <numFmt numFmtId="181" formatCode="_-* #,##0\ _P_t_s_-;\-* #,##0\ _P_t_s_-;_-* &quot;-&quot;??\ _P_t_s_-;_-@_-"/>
    <numFmt numFmtId="182" formatCode="0.0000000000000"/>
    <numFmt numFmtId="183" formatCode="0.000000000000E+00"/>
    <numFmt numFmtId="184" formatCode="0.000E+00"/>
    <numFmt numFmtId="185" formatCode="##0"/>
    <numFmt numFmtId="186" formatCode="0.000"/>
    <numFmt numFmtId="187" formatCode="0.0000"/>
    <numFmt numFmtId="188" formatCode="0.00%;\-0.00%;&quot;&quot;"/>
    <numFmt numFmtId="189" formatCode="&quot;$&quot;#,##0\ ;\(&quot;$&quot;#,##0\)"/>
    <numFmt numFmtId="190" formatCode="\(0%\)"/>
    <numFmt numFmtId="191" formatCode="d\ \d\e\ mmmm\ \d\e\ yyyy"/>
    <numFmt numFmtId="192" formatCode="000\°00&quot;´&quot;00&quot;´´&quot;"/>
    <numFmt numFmtId="193" formatCode="0%;\-0%;&quot;&quot;"/>
    <numFmt numFmtId="194" formatCode="#0&quot;.&quot;000&quot;´&quot;000&quot;.&quot;000"/>
    <numFmt numFmtId="195" formatCode="##0&quot;.&quot;000"/>
    <numFmt numFmtId="196" formatCode="&quot;$&quot;\ #,##0.00"/>
    <numFmt numFmtId="197" formatCode="#,##0.0000"/>
    <numFmt numFmtId="198" formatCode="_-* #,##0.00\ _€_-;\-* #,##0.00\ _€_-;_-* &quot;-&quot;??\ _€_-;_-@_-"/>
    <numFmt numFmtId="199" formatCode="_-* #,##0.00\ _P_t_a_-;\-* #,##0.00\ _P_t_a_-;_-* &quot;-&quot;??\ _P_t_a_-;_-@_-"/>
    <numFmt numFmtId="200" formatCode="_ * #,##0.00_ ;_ * \-#,##0.00_ ;_ * &quot;-&quot;??_ ;_ @_ "/>
    <numFmt numFmtId="201" formatCode="##0&quot;´&quot;000&quot;.&quot;000"/>
    <numFmt numFmtId="202" formatCode="[$$-240A]\ #,##0.00"/>
    <numFmt numFmtId="203" formatCode="_ &quot;$&quot;* #,##0.00_ ;_ &quot;$&quot;* \-#,##0.00_ ;_ &quot;$&quot;* &quot;-&quot;??_ ;_ @_ "/>
    <numFmt numFmtId="204" formatCode="#.##\ \K\g"/>
    <numFmt numFmtId="205" formatCode="_(* #,##0.0_);_(* \(#,##0.0\);_(* &quot;-&quot;??_);_(@_)"/>
    <numFmt numFmtId="206" formatCode="#0&quot;.&quot;"/>
    <numFmt numFmtId="207" formatCode="0.0%;\-0.0%;&quot;&quot;"/>
    <numFmt numFmtId="208" formatCode="_([$€]* #,##0.00_);_([$€]* \(#,##0.00\);_([$€]* &quot;-&quot;??_);_(@_)"/>
    <numFmt numFmtId="209" formatCode="&quot;$&quot;\ #,##0.00;&quot;$&quot;\ \-#,##0.00"/>
    <numFmt numFmtId="210" formatCode="0\+000"/>
    <numFmt numFmtId="211" formatCode="#,##0.0000000"/>
    <numFmt numFmtId="212" formatCode="0.0000%"/>
    <numFmt numFmtId="213" formatCode="0.000000000000000"/>
    <numFmt numFmtId="214" formatCode="0.000%"/>
  </numFmts>
  <fonts count="61"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0"/>
      <name val="Arial"/>
      <family val="2"/>
    </font>
    <font>
      <b/>
      <sz val="9"/>
      <name val="Arial"/>
      <family val="2"/>
    </font>
    <font>
      <b/>
      <sz val="8"/>
      <name val="Arial"/>
      <family val="2"/>
    </font>
    <font>
      <sz val="8"/>
      <name val="Arial"/>
      <family val="2"/>
    </font>
    <font>
      <sz val="10"/>
      <name val="Arial"/>
      <family val="2"/>
    </font>
    <font>
      <i/>
      <sz val="8"/>
      <name val="Arial"/>
      <family val="2"/>
    </font>
    <font>
      <sz val="11"/>
      <name val="Arial"/>
      <family val="2"/>
    </font>
    <font>
      <b/>
      <sz val="7"/>
      <name val="Arial"/>
      <family val="2"/>
    </font>
    <font>
      <sz val="7"/>
      <name val="Arial"/>
      <family val="2"/>
    </font>
    <font>
      <b/>
      <sz val="11"/>
      <name val="Arial"/>
      <family val="2"/>
    </font>
    <font>
      <b/>
      <sz val="12"/>
      <name val="Times New Roman"/>
      <family val="1"/>
    </font>
    <font>
      <b/>
      <sz val="16"/>
      <name val="Times New Roman"/>
      <family val="1"/>
    </font>
    <font>
      <sz val="12"/>
      <name val="Times New Roman"/>
      <family val="1"/>
    </font>
    <font>
      <sz val="14"/>
      <name val="Arial"/>
      <family val="2"/>
    </font>
    <font>
      <b/>
      <sz val="14"/>
      <name val="Times New Roman"/>
      <family val="1"/>
    </font>
    <font>
      <sz val="22"/>
      <name val="Arial"/>
      <family val="2"/>
    </font>
    <font>
      <b/>
      <sz val="14"/>
      <color indexed="10"/>
      <name val="Times New Roman"/>
      <family val="1"/>
    </font>
    <font>
      <sz val="10"/>
      <color indexed="8"/>
      <name val="Arial"/>
      <family val="2"/>
    </font>
    <font>
      <b/>
      <sz val="8"/>
      <color indexed="12"/>
      <name val="Arial"/>
      <family val="2"/>
    </font>
    <font>
      <b/>
      <i/>
      <sz val="10"/>
      <name val="Arial"/>
      <family val="2"/>
    </font>
    <font>
      <b/>
      <sz val="16"/>
      <name val="Arial"/>
      <family val="2"/>
    </font>
    <font>
      <b/>
      <sz val="6"/>
      <name val="Arial"/>
      <family val="2"/>
    </font>
    <font>
      <b/>
      <vertAlign val="superscript"/>
      <sz val="9"/>
      <name val="Arial"/>
      <family val="2"/>
    </font>
    <font>
      <sz val="11"/>
      <color theme="1"/>
      <name val="Calibri"/>
      <family val="2"/>
      <scheme val="minor"/>
    </font>
    <font>
      <b/>
      <sz val="11"/>
      <color theme="1"/>
      <name val="Calibri"/>
      <family val="2"/>
      <scheme val="minor"/>
    </font>
    <font>
      <b/>
      <vertAlign val="superscript"/>
      <sz val="11"/>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Modern"/>
      <family val="3"/>
      <charset val="255"/>
    </font>
    <font>
      <sz val="10"/>
      <name val="Helv"/>
    </font>
    <font>
      <b/>
      <sz val="11"/>
      <color indexed="8"/>
      <name val="Calibri"/>
      <family val="2"/>
    </font>
    <font>
      <i/>
      <sz val="11"/>
      <color indexed="23"/>
      <name val="Calibri"/>
      <family val="2"/>
    </font>
    <font>
      <sz val="1"/>
      <color indexed="8"/>
      <name val="Courier"/>
      <family val="3"/>
    </font>
    <font>
      <i/>
      <sz val="1"/>
      <color indexed="8"/>
      <name val="Courier"/>
      <family val="3"/>
    </font>
    <font>
      <sz val="11"/>
      <color indexed="17"/>
      <name val="Calibri"/>
      <family val="2"/>
    </font>
    <font>
      <b/>
      <sz val="10"/>
      <color indexed="24"/>
      <name val="Modern"/>
      <family val="3"/>
      <charset val="255"/>
    </font>
    <font>
      <sz val="8"/>
      <color indexed="24"/>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8"/>
      <name val="Arial"/>
      <family val="2"/>
    </font>
    <font>
      <b/>
      <sz val="11"/>
      <color indexed="63"/>
      <name val="Calibri"/>
      <family val="2"/>
    </font>
    <font>
      <b/>
      <sz val="18"/>
      <color indexed="56"/>
      <name val="Cambria"/>
      <family val="2"/>
    </font>
    <font>
      <b/>
      <sz val="18"/>
      <color indexed="62"/>
      <name val="Cambria"/>
      <family val="2"/>
    </font>
    <font>
      <sz val="11"/>
      <color indexed="10"/>
      <name val="Calibri"/>
      <family val="2"/>
    </font>
    <font>
      <b/>
      <sz val="10"/>
      <color rgb="FFFF0000"/>
      <name val="Arial"/>
      <family val="2"/>
    </font>
    <font>
      <sz val="10"/>
      <name val="Arial"/>
      <family val="2"/>
    </font>
    <font>
      <sz val="10"/>
      <color theme="0"/>
      <name val="Arial"/>
      <family val="2"/>
    </font>
    <font>
      <b/>
      <sz val="20"/>
      <name val="Arial"/>
      <family val="2"/>
    </font>
    <font>
      <b/>
      <sz val="12"/>
      <color rgb="FFFF0000"/>
      <name val="Times New Roman"/>
      <family val="1"/>
    </font>
  </fonts>
  <fills count="4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CC81"/>
        <bgColor indexed="64"/>
      </patternFill>
    </fill>
    <fill>
      <patternFill patternType="solid">
        <fgColor rgb="FFC0C0C0"/>
        <bgColor indexed="64"/>
      </patternFill>
    </fill>
    <fill>
      <patternFill patternType="solid">
        <fgColor rgb="FF99CCFF"/>
        <bgColor indexed="64"/>
      </patternFill>
    </fill>
    <fill>
      <patternFill patternType="solid">
        <fgColor rgb="FFFF99CC"/>
        <bgColor indexed="64"/>
      </patternFill>
    </fill>
    <fill>
      <patternFill patternType="solid">
        <fgColor rgb="FFFFCCCC"/>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B8CCE4"/>
        <bgColor indexed="64"/>
      </patternFill>
    </fill>
    <fill>
      <patternFill patternType="solid">
        <fgColor theme="0" tint="-0.249977111117893"/>
        <bgColor indexed="64"/>
      </patternFill>
    </fill>
    <fill>
      <patternFill patternType="solid">
        <fgColor theme="0" tint="-0.34998626667073579"/>
        <bgColor indexed="64"/>
      </patternFill>
    </fill>
  </fills>
  <borders count="126">
    <border>
      <left/>
      <right/>
      <top/>
      <bottom/>
      <diagonal/>
    </border>
    <border>
      <left style="medium">
        <color indexed="64"/>
      </left>
      <right style="medium">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diagonal/>
    </border>
    <border>
      <left style="thin">
        <color indexed="64"/>
      </left>
      <right style="double">
        <color indexed="64"/>
      </right>
      <top style="dotted">
        <color indexed="64"/>
      </top>
      <bottom/>
      <diagonal/>
    </border>
    <border>
      <left style="thin">
        <color indexed="64"/>
      </left>
      <right style="double">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bottom style="dotted">
        <color indexed="64"/>
      </bottom>
      <diagonal/>
    </border>
    <border>
      <left style="double">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right/>
      <top style="double">
        <color indexed="64"/>
      </top>
      <bottom style="thin">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s>
  <cellStyleXfs count="229">
    <xf numFmtId="0" fontId="0" fillId="0" borderId="0"/>
    <xf numFmtId="0" fontId="23" fillId="0" borderId="0">
      <alignment vertical="top"/>
    </xf>
    <xf numFmtId="176" fontId="3" fillId="0" borderId="0" applyFont="0" applyFill="0" applyBorder="0" applyAlignment="0" applyProtection="0"/>
    <xf numFmtId="169" fontId="3"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10" fillId="0" borderId="0"/>
    <xf numFmtId="0" fontId="3" fillId="0" borderId="0"/>
    <xf numFmtId="0" fontId="3" fillId="0" borderId="0"/>
    <xf numFmtId="0" fontId="3" fillId="0" borderId="0"/>
    <xf numFmtId="9" fontId="3" fillId="0" borderId="0" applyFon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6" fontId="3" fillId="0" borderId="0" applyFont="0" applyFill="0" applyBorder="0" applyAlignment="0" applyProtection="0"/>
    <xf numFmtId="0" fontId="2" fillId="0" borderId="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2" fontId="3" fillId="0" borderId="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8" borderId="0" applyNumberFormat="0" applyBorder="0" applyAlignment="0" applyProtection="0"/>
    <xf numFmtId="0" fontId="35" fillId="12" borderId="0" applyNumberFormat="0" applyBorder="0" applyAlignment="0" applyProtection="0"/>
    <xf numFmtId="0" fontId="36" fillId="29" borderId="99" applyNumberFormat="0" applyAlignment="0" applyProtection="0"/>
    <xf numFmtId="0" fontId="37" fillId="30" borderId="100" applyNumberFormat="0" applyAlignment="0" applyProtection="0"/>
    <xf numFmtId="185" fontId="9" fillId="0" borderId="89">
      <alignment horizontal="right"/>
    </xf>
    <xf numFmtId="2" fontId="9" fillId="0" borderId="0"/>
    <xf numFmtId="186" fontId="9" fillId="0" borderId="0"/>
    <xf numFmtId="187" fontId="8" fillId="0" borderId="0"/>
    <xf numFmtId="185" fontId="9" fillId="0" borderId="89">
      <alignment horizontal="right"/>
    </xf>
    <xf numFmtId="181" fontId="3" fillId="0" borderId="0">
      <protection locked="0"/>
    </xf>
    <xf numFmtId="3" fontId="38" fillId="0" borderId="0" applyFont="0" applyFill="0" applyBorder="0" applyAlignment="0" applyProtection="0"/>
    <xf numFmtId="0" fontId="39" fillId="0" borderId="0"/>
    <xf numFmtId="0" fontId="39" fillId="0" borderId="0"/>
    <xf numFmtId="0" fontId="39" fillId="0" borderId="0"/>
    <xf numFmtId="188" fontId="3" fillId="0" borderId="0">
      <protection locked="0"/>
    </xf>
    <xf numFmtId="189" fontId="38" fillId="0" borderId="0" applyFont="0" applyFill="0" applyBorder="0" applyAlignment="0" applyProtection="0"/>
    <xf numFmtId="190" fontId="3" fillId="0" borderId="0">
      <protection locked="0"/>
    </xf>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4"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4" fillId="37"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4" fillId="37" borderId="0" applyNumberFormat="0" applyBorder="0" applyAlignment="0" applyProtection="0"/>
    <xf numFmtId="0" fontId="33" fillId="40"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3" fillId="36" borderId="0" applyNumberFormat="0" applyBorder="0" applyAlignment="0" applyProtection="0"/>
    <xf numFmtId="0" fontId="33" fillId="41" borderId="0" applyNumberFormat="0" applyBorder="0" applyAlignment="0" applyProtection="0"/>
    <xf numFmtId="0" fontId="34" fillId="41" borderId="0" applyNumberFormat="0" applyBorder="0" applyAlignment="0" applyProtection="0"/>
    <xf numFmtId="1" fontId="3" fillId="0" borderId="0"/>
    <xf numFmtId="0" fontId="3" fillId="0" borderId="0" applyFont="0" applyFill="0" applyBorder="0" applyAlignment="0" applyProtection="0"/>
    <xf numFmtId="0" fontId="41" fillId="0" borderId="0" applyNumberFormat="0" applyFill="0" applyBorder="0" applyAlignment="0" applyProtection="0"/>
    <xf numFmtId="4" fontId="42" fillId="0" borderId="0">
      <protection locked="0"/>
    </xf>
    <xf numFmtId="4" fontId="42" fillId="0" borderId="0">
      <protection locked="0"/>
    </xf>
    <xf numFmtId="4" fontId="43" fillId="0" borderId="0">
      <protection locked="0"/>
    </xf>
    <xf numFmtId="4" fontId="42" fillId="0" borderId="0">
      <protection locked="0"/>
    </xf>
    <xf numFmtId="4" fontId="42" fillId="0" borderId="0">
      <protection locked="0"/>
    </xf>
    <xf numFmtId="4" fontId="42" fillId="0" borderId="0">
      <protection locked="0"/>
    </xf>
    <xf numFmtId="4" fontId="43" fillId="0" borderId="0">
      <protection locked="0"/>
    </xf>
    <xf numFmtId="191" fontId="3" fillId="0" borderId="0">
      <protection locked="0"/>
    </xf>
    <xf numFmtId="0" fontId="44" fillId="13" borderId="0" applyNumberFormat="0" applyBorder="0" applyAlignment="0" applyProtection="0"/>
    <xf numFmtId="192" fontId="3"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101" applyNumberFormat="0" applyFill="0" applyAlignment="0" applyProtection="0"/>
    <xf numFmtId="0" fontId="47" fillId="0" borderId="0" applyNumberFormat="0" applyFill="0" applyBorder="0" applyAlignment="0" applyProtection="0"/>
    <xf numFmtId="193" fontId="3" fillId="0" borderId="0">
      <protection locked="0"/>
    </xf>
    <xf numFmtId="193" fontId="3" fillId="0" borderId="0">
      <protection locked="0"/>
    </xf>
    <xf numFmtId="0" fontId="48" fillId="0" borderId="0" applyNumberFormat="0" applyFill="0" applyBorder="0" applyAlignment="0" applyProtection="0">
      <alignment vertical="top"/>
      <protection locked="0"/>
    </xf>
    <xf numFmtId="0" fontId="49" fillId="16" borderId="99" applyNumberFormat="0" applyAlignment="0" applyProtection="0"/>
    <xf numFmtId="0" fontId="50" fillId="0" borderId="102" applyNumberFormat="0" applyFill="0" applyAlignment="0" applyProtection="0"/>
    <xf numFmtId="194" fontId="9" fillId="0" borderId="0">
      <alignment horizontal="right"/>
    </xf>
    <xf numFmtId="195" fontId="9" fillId="0" borderId="0" applyFont="0" applyFill="0" applyBorder="0" applyAlignment="0">
      <alignment horizontal="center"/>
    </xf>
    <xf numFmtId="164" fontId="2"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98" fontId="5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9"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6"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66" fontId="3" fillId="0" borderId="0" applyFont="0" applyFill="0" applyBorder="0" applyAlignment="0" applyProtection="0"/>
    <xf numFmtId="197" fontId="3" fillId="0" borderId="0" applyFont="0" applyFill="0" applyBorder="0" applyAlignment="0" applyProtection="0"/>
    <xf numFmtId="196" fontId="3" fillId="0" borderId="0" applyFont="0" applyFill="0" applyBorder="0" applyAlignment="0" applyProtection="0"/>
    <xf numFmtId="166" fontId="2"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201" fontId="9" fillId="0" borderId="0">
      <alignment horizontal="right"/>
    </xf>
    <xf numFmtId="202" fontId="9" fillId="0" borderId="55"/>
    <xf numFmtId="203" fontId="3" fillId="0" borderId="0"/>
    <xf numFmtId="204" fontId="3" fillId="0" borderId="0" applyFont="0" applyFill="0" applyBorder="0" applyAlignment="0" applyProtection="0"/>
    <xf numFmtId="204" fontId="3" fillId="0" borderId="0" applyFont="0" applyFill="0" applyBorder="0" applyAlignment="0" applyProtection="0"/>
    <xf numFmtId="165" fontId="33" fillId="0" borderId="0" applyFont="0" applyFill="0" applyBorder="0" applyAlignment="0" applyProtection="0"/>
    <xf numFmtId="205" fontId="3" fillId="0" borderId="0" applyFont="0" applyFill="0" applyBorder="0" applyAlignment="0" applyProtection="0"/>
    <xf numFmtId="165" fontId="3" fillId="0" borderId="0" applyFont="0" applyFill="0" applyBorder="0" applyAlignment="0" applyProtection="0"/>
    <xf numFmtId="206" fontId="9" fillId="0" borderId="0" applyFont="0" applyFill="0" applyBorder="0" applyAlignment="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2" fillId="0" borderId="0" applyFont="0" applyFill="0" applyBorder="0" applyAlignment="0" applyProtection="0"/>
    <xf numFmtId="0" fontId="3" fillId="0" borderId="0"/>
    <xf numFmtId="166" fontId="2" fillId="0" borderId="0" applyFont="0" applyFill="0" applyBorder="0" applyAlignment="0" applyProtection="0"/>
    <xf numFmtId="0" fontId="3" fillId="0" borderId="0"/>
    <xf numFmtId="0" fontId="3" fillId="0" borderId="0"/>
    <xf numFmtId="0" fontId="33" fillId="0" borderId="0"/>
    <xf numFmtId="0" fontId="33" fillId="42" borderId="103" applyNumberFormat="0" applyFont="0" applyAlignment="0" applyProtection="0"/>
    <xf numFmtId="0" fontId="52" fillId="29" borderId="104" applyNumberFormat="0" applyAlignment="0" applyProtection="0"/>
    <xf numFmtId="0" fontId="39" fillId="0" borderId="0"/>
    <xf numFmtId="207" fontId="3" fillId="0" borderId="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49" fontId="6" fillId="0" borderId="0">
      <alignment horizontal="center" vertical="center"/>
    </xf>
    <xf numFmtId="0" fontId="54" fillId="0" borderId="0" applyNumberFormat="0" applyFill="0" applyBorder="0" applyAlignment="0" applyProtection="0"/>
    <xf numFmtId="0" fontId="55" fillId="0" borderId="0" applyNumberFormat="0" applyFill="0" applyBorder="0" applyAlignment="0" applyProtection="0"/>
    <xf numFmtId="165" fontId="2" fillId="0" borderId="0" applyFont="0" applyFill="0" applyBorder="0" applyAlignment="0" applyProtection="0"/>
    <xf numFmtId="208" fontId="3" fillId="0" borderId="0" applyFont="0" applyFill="0" applyBorder="0" applyAlignment="0" applyProtection="0"/>
    <xf numFmtId="166" fontId="2" fillId="0" borderId="0" applyFont="0" applyFill="0" applyBorder="0" applyAlignment="0" applyProtection="0"/>
    <xf numFmtId="164" fontId="3" fillId="0" borderId="0" applyFont="0" applyFill="0" applyBorder="0" applyAlignment="0" applyProtection="0"/>
    <xf numFmtId="166" fontId="2" fillId="0" borderId="0" applyFont="0" applyFill="0" applyBorder="0" applyAlignment="0" applyProtection="0"/>
    <xf numFmtId="200"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5" fontId="2" fillId="0" borderId="0" applyFont="0" applyFill="0" applyBorder="0" applyAlignment="0" applyProtection="0"/>
    <xf numFmtId="210" fontId="3" fillId="0" borderId="0" applyFont="0" applyFill="0" applyBorder="0" applyAlignment="0" applyProtection="0"/>
    <xf numFmtId="0" fontId="33" fillId="0" borderId="0"/>
    <xf numFmtId="165" fontId="2" fillId="0" borderId="0" applyFont="0" applyFill="0" applyBorder="0" applyAlignment="0" applyProtection="0"/>
    <xf numFmtId="166" fontId="2" fillId="0" borderId="0" applyFont="0" applyFill="0" applyBorder="0" applyAlignment="0" applyProtection="0"/>
    <xf numFmtId="0" fontId="2" fillId="0" borderId="0"/>
    <xf numFmtId="209" fontId="3" fillId="0" borderId="0" applyFont="0" applyFill="0" applyBorder="0" applyAlignment="0" applyProtection="0"/>
    <xf numFmtId="0" fontId="2" fillId="0" borderId="0"/>
    <xf numFmtId="0" fontId="2" fillId="0" borderId="0"/>
    <xf numFmtId="9" fontId="57" fillId="0" borderId="0" applyFont="0" applyFill="0" applyBorder="0" applyAlignment="0" applyProtection="0"/>
  </cellStyleXfs>
  <cellXfs count="430">
    <xf numFmtId="0" fontId="0" fillId="0" borderId="0" xfId="0"/>
    <xf numFmtId="0" fontId="4" fillId="0" borderId="0" xfId="0" applyFont="1" applyAlignment="1" applyProtection="1">
      <alignment horizontal="centerContinuous" vertical="center" wrapText="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centerContinuous" vertical="center" wrapText="1"/>
      <protection hidden="1"/>
    </xf>
    <xf numFmtId="0" fontId="6" fillId="0" borderId="0" xfId="0" applyFont="1" applyAlignment="1" applyProtection="1">
      <alignment horizontal="centerContinuous" vertical="center" wrapText="1"/>
      <protection hidden="1"/>
    </xf>
    <xf numFmtId="0" fontId="7" fillId="0" borderId="0" xfId="0" applyFont="1" applyAlignment="1" applyProtection="1">
      <alignment horizontal="centerContinuous" vertical="center" wrapText="1"/>
      <protection hidden="1"/>
    </xf>
    <xf numFmtId="0" fontId="10" fillId="0" borderId="0" xfId="0" applyFont="1" applyAlignment="1" applyProtection="1">
      <alignment horizontal="centerContinuous" vertical="center" wrapText="1"/>
      <protection hidden="1"/>
    </xf>
    <xf numFmtId="0" fontId="10" fillId="0" borderId="0" xfId="0" applyFont="1" applyAlignment="1" applyProtection="1">
      <protection hidden="1"/>
    </xf>
    <xf numFmtId="0" fontId="4" fillId="0" borderId="0" xfId="0" applyFont="1" applyAlignment="1" applyProtection="1">
      <alignment horizontal="left"/>
      <protection hidden="1"/>
    </xf>
    <xf numFmtId="0" fontId="10" fillId="0" borderId="0" xfId="0" applyFont="1" applyAlignment="1" applyProtection="1">
      <alignment horizontal="left" vertical="center"/>
      <protection hidden="1"/>
    </xf>
    <xf numFmtId="0" fontId="10" fillId="0" borderId="0" xfId="0" applyFont="1" applyFill="1" applyProtection="1">
      <protection hidden="1"/>
    </xf>
    <xf numFmtId="0" fontId="9" fillId="0" borderId="0" xfId="0" applyFont="1" applyProtection="1">
      <protection hidden="1"/>
    </xf>
    <xf numFmtId="0" fontId="17" fillId="0" borderId="0" xfId="0" applyFont="1" applyFill="1" applyAlignment="1" applyProtection="1">
      <alignment horizontal="centerContinuous" vertical="center" wrapText="1"/>
      <protection hidden="1"/>
    </xf>
    <xf numFmtId="0" fontId="13" fillId="0" borderId="0" xfId="0" applyFont="1" applyFill="1" applyAlignment="1" applyProtection="1">
      <alignment horizontal="centerContinuous" vertical="center" wrapText="1"/>
      <protection hidden="1"/>
    </xf>
    <xf numFmtId="0" fontId="14" fillId="0" borderId="0" xfId="0" applyFont="1" applyFill="1" applyProtection="1">
      <protection hidden="1"/>
    </xf>
    <xf numFmtId="0" fontId="9"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Fill="1" applyAlignment="1" applyProtection="1">
      <protection hidden="1"/>
    </xf>
    <xf numFmtId="0" fontId="18"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wrapText="1"/>
      <protection hidden="1"/>
    </xf>
    <xf numFmtId="0" fontId="10"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Continuous" vertical="center" wrapText="1"/>
      <protection hidden="1"/>
    </xf>
    <xf numFmtId="0" fontId="9" fillId="0" borderId="0" xfId="0" applyFont="1" applyFill="1" applyAlignment="1" applyProtection="1">
      <alignment horizontal="centerContinuous" vertical="center"/>
      <protection hidden="1"/>
    </xf>
    <xf numFmtId="0" fontId="9" fillId="0" borderId="0" xfId="0" applyFont="1" applyFill="1" applyBorder="1" applyAlignment="1" applyProtection="1">
      <alignment horizontal="center"/>
      <protection hidden="1"/>
    </xf>
    <xf numFmtId="0" fontId="9" fillId="0" borderId="0" xfId="0" quotePrefix="1" applyFont="1" applyFill="1" applyBorder="1" applyAlignment="1" applyProtection="1">
      <alignment horizontal="center" vertical="center"/>
      <protection hidden="1"/>
    </xf>
    <xf numFmtId="0" fontId="9" fillId="0" borderId="0" xfId="0" applyFont="1" applyFill="1" applyBorder="1" applyAlignment="1" applyProtection="1">
      <alignment horizontal="centerContinuous" vertical="center"/>
      <protection hidden="1"/>
    </xf>
    <xf numFmtId="0" fontId="4" fillId="0" borderId="0" xfId="0" applyFont="1" applyFill="1" applyAlignment="1" applyProtection="1">
      <alignment horizontal="centerContinuous" vertical="center"/>
      <protection hidden="1"/>
    </xf>
    <xf numFmtId="0" fontId="9" fillId="0" borderId="0" xfId="0" applyFont="1" applyFill="1" applyProtection="1">
      <protection hidden="1"/>
    </xf>
    <xf numFmtId="0" fontId="10" fillId="0" borderId="0" xfId="0" applyFont="1" applyFill="1" applyAlignment="1" applyProtection="1">
      <alignment horizontal="left" vertical="center"/>
      <protection hidden="1"/>
    </xf>
    <xf numFmtId="1" fontId="20" fillId="0" borderId="0" xfId="0" applyNumberFormat="1" applyFont="1" applyFill="1" applyAlignment="1" applyProtection="1">
      <alignment horizontal="centerContinuous" vertical="center" wrapText="1"/>
      <protection hidden="1"/>
    </xf>
    <xf numFmtId="1" fontId="22" fillId="0" borderId="0" xfId="0" applyNumberFormat="1" applyFont="1" applyFill="1" applyAlignment="1" applyProtection="1">
      <alignment horizontal="centerContinuous" vertical="center" wrapText="1"/>
      <protection hidden="1"/>
    </xf>
    <xf numFmtId="0" fontId="19" fillId="0" borderId="0" xfId="0" applyFont="1" applyProtection="1">
      <protection hidden="1"/>
    </xf>
    <xf numFmtId="0" fontId="19" fillId="0" borderId="0" xfId="0" applyFont="1" applyAlignment="1" applyProtection="1">
      <protection hidden="1"/>
    </xf>
    <xf numFmtId="0" fontId="19" fillId="0" borderId="0" xfId="0" applyFont="1" applyFill="1" applyAlignment="1" applyProtection="1">
      <protection hidden="1"/>
    </xf>
    <xf numFmtId="0" fontId="19" fillId="0" borderId="0" xfId="0" quotePrefix="1" applyFont="1" applyFill="1" applyAlignment="1" applyProtection="1">
      <alignment vertical="center"/>
      <protection hidden="1"/>
    </xf>
    <xf numFmtId="0" fontId="19" fillId="0" borderId="0" xfId="0" applyFont="1" applyFill="1" applyAlignment="1" applyProtection="1">
      <alignment horizontal="center"/>
      <protection hidden="1"/>
    </xf>
    <xf numFmtId="0" fontId="20" fillId="0" borderId="0" xfId="0" applyFont="1" applyAlignment="1" applyProtection="1">
      <alignment horizontal="centerContinuous" vertical="center" wrapText="1"/>
      <protection locked="0"/>
    </xf>
    <xf numFmtId="0" fontId="3" fillId="0" borderId="0" xfId="0" applyFont="1" applyFill="1" applyProtection="1">
      <protection hidden="1"/>
    </xf>
    <xf numFmtId="0" fontId="3" fillId="0" borderId="0" xfId="0" applyFont="1" applyProtection="1">
      <protection hidden="1"/>
    </xf>
    <xf numFmtId="0" fontId="3" fillId="2" borderId="0" xfId="12" applyFont="1" applyFill="1" applyAlignment="1">
      <alignment horizontal="left" vertical="top" wrapText="1"/>
    </xf>
    <xf numFmtId="0" fontId="3" fillId="2" borderId="0" xfId="12" applyFont="1" applyFill="1" applyAlignment="1">
      <alignment wrapText="1"/>
    </xf>
    <xf numFmtId="0" fontId="3" fillId="2" borderId="0" xfId="12" applyFont="1" applyFill="1"/>
    <xf numFmtId="0" fontId="5" fillId="2" borderId="0" xfId="12" applyFont="1" applyFill="1" applyAlignment="1">
      <alignment horizontal="centerContinuous" vertical="center" wrapText="1"/>
    </xf>
    <xf numFmtId="0" fontId="3" fillId="2" borderId="0" xfId="12" applyFont="1" applyFill="1" applyAlignment="1">
      <alignment horizontal="center" vertical="center"/>
    </xf>
    <xf numFmtId="10" fontId="3" fillId="2" borderId="0" xfId="12" applyNumberFormat="1" applyFont="1" applyFill="1"/>
    <xf numFmtId="0" fontId="8" fillId="2" borderId="3" xfId="12" applyFont="1" applyFill="1" applyBorder="1" applyAlignment="1">
      <alignment horizontal="center" vertical="center"/>
    </xf>
    <xf numFmtId="1" fontId="16" fillId="0" borderId="0" xfId="12" applyNumberFormat="1" applyFont="1" applyAlignment="1">
      <alignment horizontal="centerContinuous" vertical="center" wrapText="1"/>
    </xf>
    <xf numFmtId="1" fontId="6" fillId="0" borderId="0" xfId="12" applyNumberFormat="1" applyFont="1" applyAlignment="1">
      <alignment horizontal="centerContinuous" vertical="center" wrapText="1"/>
    </xf>
    <xf numFmtId="0" fontId="6" fillId="0" borderId="0" xfId="12" applyFont="1" applyAlignment="1">
      <alignment horizontal="centerContinuous" vertical="center"/>
    </xf>
    <xf numFmtId="0" fontId="8" fillId="0" borderId="4" xfId="0" applyFont="1" applyBorder="1" applyAlignment="1" applyProtection="1">
      <alignment horizontal="centerContinuous"/>
      <protection hidden="1"/>
    </xf>
    <xf numFmtId="0" fontId="8" fillId="0" borderId="5" xfId="0" applyFont="1" applyBorder="1" applyAlignment="1" applyProtection="1">
      <alignment horizontal="center" vertical="center"/>
      <protection hidden="1"/>
    </xf>
    <xf numFmtId="0" fontId="6" fillId="0" borderId="6" xfId="11" applyFont="1" applyBorder="1" applyAlignment="1" applyProtection="1">
      <alignment horizontal="center"/>
      <protection hidden="1"/>
    </xf>
    <xf numFmtId="0" fontId="6" fillId="0" borderId="7" xfId="11" applyFont="1" applyBorder="1" applyAlignment="1" applyProtection="1">
      <alignment horizontal="center"/>
      <protection hidden="1"/>
    </xf>
    <xf numFmtId="0" fontId="6" fillId="0" borderId="8" xfId="11" applyFont="1" applyBorder="1" applyAlignment="1" applyProtection="1">
      <alignment horizontal="center"/>
      <protection hidden="1"/>
    </xf>
    <xf numFmtId="0" fontId="10" fillId="0" borderId="9"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11" xfId="0" applyFont="1" applyBorder="1" applyAlignment="1" applyProtection="1">
      <alignment horizontal="center"/>
      <protection hidden="1"/>
    </xf>
    <xf numFmtId="0" fontId="10" fillId="0" borderId="12"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25" fillId="5" borderId="15" xfId="11" applyFont="1" applyFill="1" applyBorder="1"/>
    <xf numFmtId="0" fontId="25" fillId="5" borderId="16" xfId="11" applyFont="1" applyFill="1" applyBorder="1"/>
    <xf numFmtId="0" fontId="3" fillId="0" borderId="17" xfId="11" applyBorder="1"/>
    <xf numFmtId="0" fontId="25" fillId="5" borderId="18" xfId="11" applyFont="1" applyFill="1" applyBorder="1"/>
    <xf numFmtId="0" fontId="3" fillId="0" borderId="19" xfId="11" applyBorder="1"/>
    <xf numFmtId="0" fontId="25" fillId="5" borderId="20" xfId="11" applyFont="1" applyFill="1" applyBorder="1"/>
    <xf numFmtId="0" fontId="3" fillId="0" borderId="21" xfId="11" applyBorder="1"/>
    <xf numFmtId="0" fontId="3" fillId="0" borderId="21" xfId="11" applyFont="1" applyBorder="1"/>
    <xf numFmtId="0" fontId="3" fillId="0" borderId="22" xfId="11" applyFont="1" applyFill="1" applyBorder="1"/>
    <xf numFmtId="0" fontId="10" fillId="0" borderId="23" xfId="0" applyFont="1" applyBorder="1" applyAlignment="1" applyProtection="1">
      <alignment horizontal="center"/>
      <protection hidden="1"/>
    </xf>
    <xf numFmtId="0" fontId="10" fillId="0" borderId="24" xfId="0" applyFont="1" applyBorder="1" applyAlignment="1" applyProtection="1">
      <alignment horizontal="center"/>
      <protection hidden="1"/>
    </xf>
    <xf numFmtId="0" fontId="6" fillId="0" borderId="0" xfId="0" applyFont="1" applyFill="1" applyAlignment="1" applyProtection="1">
      <alignment horizontal="center" vertical="center"/>
      <protection hidden="1"/>
    </xf>
    <xf numFmtId="0" fontId="3" fillId="0" borderId="26" xfId="11" applyFont="1" applyFill="1" applyBorder="1"/>
    <xf numFmtId="0" fontId="3" fillId="0" borderId="27" xfId="11" applyFont="1" applyFill="1" applyBorder="1"/>
    <xf numFmtId="0" fontId="3" fillId="0" borderId="28" xfId="11" applyFont="1" applyFill="1" applyBorder="1"/>
    <xf numFmtId="0" fontId="8" fillId="0" borderId="5" xfId="0" applyFont="1" applyBorder="1" applyAlignment="1" applyProtection="1">
      <alignment horizontal="centerContinuous"/>
      <protection hidden="1"/>
    </xf>
    <xf numFmtId="0" fontId="6" fillId="0" borderId="31" xfId="11" applyFont="1" applyBorder="1" applyAlignment="1" applyProtection="1">
      <alignment horizontal="center"/>
      <protection hidden="1"/>
    </xf>
    <xf numFmtId="171" fontId="15" fillId="0" borderId="42" xfId="9" applyNumberFormat="1" applyFont="1" applyFill="1" applyBorder="1" applyAlignment="1" applyProtection="1">
      <alignment vertical="center"/>
      <protection locked="0"/>
    </xf>
    <xf numFmtId="0" fontId="15" fillId="9" borderId="45" xfId="0" applyFont="1" applyFill="1" applyBorder="1" applyAlignment="1" applyProtection="1">
      <alignment horizontal="centerContinuous" vertical="center"/>
      <protection locked="0"/>
    </xf>
    <xf numFmtId="3" fontId="12" fillId="9" borderId="44" xfId="0" applyNumberFormat="1" applyFont="1" applyFill="1" applyBorder="1" applyAlignment="1" applyProtection="1">
      <alignment horizontal="centerContinuous" vertical="center"/>
      <protection locked="0"/>
    </xf>
    <xf numFmtId="0" fontId="8" fillId="2" borderId="0" xfId="12" applyFont="1" applyFill="1" applyBorder="1" applyAlignment="1">
      <alignment vertical="center"/>
    </xf>
    <xf numFmtId="179" fontId="15" fillId="2" borderId="0" xfId="7" applyNumberFormat="1" applyFont="1" applyFill="1" applyBorder="1" applyAlignment="1"/>
    <xf numFmtId="10" fontId="6" fillId="2" borderId="36" xfId="12" applyNumberFormat="1" applyFont="1" applyFill="1" applyBorder="1" applyAlignment="1">
      <alignment horizontal="center" vertical="center" wrapText="1"/>
    </xf>
    <xf numFmtId="10" fontId="6" fillId="2" borderId="60" xfId="12" applyNumberFormat="1" applyFont="1" applyFill="1" applyBorder="1" applyAlignment="1">
      <alignment horizontal="center" vertical="center" wrapText="1"/>
    </xf>
    <xf numFmtId="0" fontId="6" fillId="0" borderId="53" xfId="12" applyFont="1" applyBorder="1" applyAlignment="1">
      <alignment horizontal="left" vertical="center"/>
    </xf>
    <xf numFmtId="0" fontId="6" fillId="0" borderId="54" xfId="12" applyFont="1" applyBorder="1" applyAlignment="1">
      <alignment horizontal="centerContinuous" vertical="center"/>
    </xf>
    <xf numFmtId="0" fontId="6" fillId="2" borderId="54" xfId="12" applyFont="1" applyFill="1" applyBorder="1" applyAlignment="1">
      <alignment horizontal="centerContinuous" vertical="center" wrapText="1"/>
    </xf>
    <xf numFmtId="0" fontId="3" fillId="2" borderId="53" xfId="12" applyFont="1" applyFill="1" applyBorder="1"/>
    <xf numFmtId="0" fontId="6" fillId="0" borderId="56" xfId="12" applyFont="1" applyBorder="1" applyAlignment="1">
      <alignment horizontal="centerContinuous" vertical="center"/>
    </xf>
    <xf numFmtId="0" fontId="6" fillId="0" borderId="57" xfId="12" applyFont="1" applyBorder="1" applyAlignment="1">
      <alignment horizontal="centerContinuous" vertical="center"/>
    </xf>
    <xf numFmtId="0" fontId="6" fillId="2" borderId="57" xfId="12" applyFont="1" applyFill="1" applyBorder="1" applyAlignment="1">
      <alignment horizontal="centerContinuous" vertical="center" wrapText="1"/>
    </xf>
    <xf numFmtId="0" fontId="3" fillId="2" borderId="54" xfId="12" applyFont="1" applyFill="1" applyBorder="1"/>
    <xf numFmtId="0" fontId="3" fillId="0" borderId="54" xfId="12" applyFont="1" applyFill="1" applyBorder="1"/>
    <xf numFmtId="0" fontId="3" fillId="2" borderId="57" xfId="12" applyFont="1" applyFill="1" applyBorder="1"/>
    <xf numFmtId="0" fontId="3" fillId="0" borderId="57" xfId="12" applyFont="1" applyFill="1" applyBorder="1"/>
    <xf numFmtId="0" fontId="6" fillId="0" borderId="54" xfId="12" applyFont="1" applyFill="1" applyBorder="1" applyAlignment="1">
      <alignment horizontal="right" vertical="center"/>
    </xf>
    <xf numFmtId="0" fontId="6" fillId="0" borderId="53" xfId="12" applyFont="1" applyFill="1" applyBorder="1" applyAlignment="1">
      <alignment horizontal="left" vertical="center"/>
    </xf>
    <xf numFmtId="0" fontId="6" fillId="0" borderId="54" xfId="12" applyFont="1" applyFill="1" applyBorder="1" applyAlignment="1">
      <alignment vertical="center"/>
    </xf>
    <xf numFmtId="0" fontId="6" fillId="0" borderId="53" xfId="12" applyFont="1" applyFill="1" applyBorder="1" applyAlignment="1">
      <alignment horizontal="center" vertical="center" wrapText="1"/>
    </xf>
    <xf numFmtId="0" fontId="6" fillId="0" borderId="54" xfId="12" applyFont="1" applyFill="1" applyBorder="1" applyAlignment="1">
      <alignment horizontal="center" vertical="center" wrapText="1"/>
    </xf>
    <xf numFmtId="0" fontId="6" fillId="0" borderId="56" xfId="12" applyFont="1" applyFill="1" applyBorder="1" applyAlignment="1">
      <alignment horizontal="center" vertical="center" wrapText="1"/>
    </xf>
    <xf numFmtId="0" fontId="6" fillId="0" borderId="57" xfId="12" applyFont="1" applyFill="1" applyBorder="1" applyAlignment="1">
      <alignment horizontal="center" vertical="center" wrapText="1"/>
    </xf>
    <xf numFmtId="0" fontId="6" fillId="0" borderId="57" xfId="12" applyFont="1" applyFill="1" applyBorder="1" applyAlignment="1">
      <alignment horizontal="right" vertical="center"/>
    </xf>
    <xf numFmtId="177" fontId="6" fillId="0" borderId="49" xfId="6" applyNumberFormat="1" applyFont="1" applyFill="1" applyBorder="1" applyAlignment="1" applyProtection="1">
      <alignment vertical="center"/>
      <protection locked="0"/>
    </xf>
    <xf numFmtId="166" fontId="6" fillId="0" borderId="61" xfId="6" applyNumberFormat="1" applyFont="1" applyFill="1" applyBorder="1" applyAlignment="1" applyProtection="1">
      <alignment vertical="center"/>
      <protection locked="0"/>
    </xf>
    <xf numFmtId="179" fontId="6" fillId="2" borderId="55" xfId="7" applyNumberFormat="1" applyFont="1" applyFill="1" applyBorder="1" applyAlignment="1"/>
    <xf numFmtId="179" fontId="6" fillId="2" borderId="49" xfId="7" applyNumberFormat="1" applyFont="1" applyFill="1" applyBorder="1" applyAlignment="1"/>
    <xf numFmtId="180" fontId="6" fillId="2" borderId="55" xfId="7" applyNumberFormat="1" applyFont="1" applyFill="1" applyBorder="1" applyAlignment="1"/>
    <xf numFmtId="179" fontId="6" fillId="2" borderId="58" xfId="7" applyNumberFormat="1" applyFont="1" applyFill="1" applyBorder="1" applyAlignment="1"/>
    <xf numFmtId="1" fontId="8" fillId="2" borderId="34" xfId="12" applyNumberFormat="1" applyFont="1" applyFill="1" applyBorder="1" applyAlignment="1">
      <alignment horizontal="left" vertical="center" wrapText="1"/>
    </xf>
    <xf numFmtId="0" fontId="6" fillId="0" borderId="55" xfId="0" applyFont="1" applyBorder="1" applyAlignment="1">
      <alignment horizontal="center" vertical="center"/>
    </xf>
    <xf numFmtId="0" fontId="6" fillId="2" borderId="55" xfId="12" applyFont="1" applyFill="1" applyBorder="1" applyAlignment="1">
      <alignment horizontal="center"/>
    </xf>
    <xf numFmtId="10" fontId="6" fillId="2" borderId="55" xfId="12" applyNumberFormat="1" applyFont="1" applyFill="1" applyBorder="1" applyAlignment="1">
      <alignment horizontal="center" vertical="center" wrapText="1"/>
    </xf>
    <xf numFmtId="10" fontId="6" fillId="2" borderId="58" xfId="12" applyNumberFormat="1" applyFont="1" applyFill="1" applyBorder="1" applyAlignment="1">
      <alignment horizontal="center" vertical="center" wrapText="1"/>
    </xf>
    <xf numFmtId="0" fontId="8" fillId="2" borderId="5" xfId="12" applyFont="1" applyFill="1" applyBorder="1" applyAlignment="1">
      <alignment horizontal="center" vertical="center" wrapText="1"/>
    </xf>
    <xf numFmtId="4" fontId="8" fillId="2" borderId="3" xfId="12" applyNumberFormat="1" applyFont="1" applyFill="1" applyBorder="1" applyAlignment="1">
      <alignment horizontal="center" vertical="center"/>
    </xf>
    <xf numFmtId="1" fontId="6" fillId="2" borderId="55" xfId="12" applyNumberFormat="1" applyFont="1" applyFill="1" applyBorder="1" applyAlignment="1">
      <alignment horizontal="center" vertical="center" wrapText="1"/>
    </xf>
    <xf numFmtId="0" fontId="6" fillId="0" borderId="54" xfId="12" applyFont="1" applyBorder="1" applyAlignment="1">
      <alignment horizontal="right" vertical="center"/>
    </xf>
    <xf numFmtId="169" fontId="6" fillId="0" borderId="65" xfId="3" applyFont="1" applyFill="1" applyBorder="1" applyAlignment="1" applyProtection="1">
      <alignment horizontal="center" vertical="center" wrapText="1"/>
    </xf>
    <xf numFmtId="181" fontId="6" fillId="2" borderId="65" xfId="3" applyNumberFormat="1" applyFont="1" applyFill="1" applyBorder="1" applyAlignment="1" applyProtection="1">
      <alignment horizontal="center" vertical="center" wrapText="1"/>
    </xf>
    <xf numFmtId="0" fontId="6" fillId="2" borderId="0" xfId="12" applyFont="1" applyFill="1" applyBorder="1" applyAlignment="1">
      <alignment horizontal="right" vertical="center"/>
    </xf>
    <xf numFmtId="179" fontId="6" fillId="2" borderId="0" xfId="7" applyNumberFormat="1" applyFont="1" applyFill="1" applyBorder="1" applyAlignment="1"/>
    <xf numFmtId="0" fontId="10" fillId="0" borderId="0" xfId="0" applyFont="1" applyBorder="1" applyAlignment="1" applyProtection="1">
      <alignment horizontal="centerContinuous" vertical="center" wrapText="1"/>
      <protection hidden="1"/>
    </xf>
    <xf numFmtId="0" fontId="10" fillId="0" borderId="0" xfId="0" applyFont="1" applyBorder="1" applyAlignment="1" applyProtection="1">
      <alignment horizontal="center" vertical="center" wrapText="1"/>
      <protection hidden="1"/>
    </xf>
    <xf numFmtId="0" fontId="9" fillId="0" borderId="0" xfId="0" applyFont="1" applyBorder="1" applyProtection="1">
      <protection hidden="1"/>
    </xf>
    <xf numFmtId="0" fontId="8" fillId="0" borderId="0" xfId="0" applyFont="1" applyBorder="1" applyAlignment="1" applyProtection="1">
      <alignment horizontal="centerContinuous" vertical="center" wrapText="1"/>
      <protection hidden="1"/>
    </xf>
    <xf numFmtId="4" fontId="9" fillId="0" borderId="0" xfId="0" applyNumberFormat="1" applyFont="1" applyBorder="1" applyProtection="1">
      <protection hidden="1"/>
    </xf>
    <xf numFmtId="3" fontId="9" fillId="0" borderId="0" xfId="0" applyNumberFormat="1" applyFont="1" applyFill="1" applyBorder="1" applyProtection="1">
      <protection hidden="1"/>
    </xf>
    <xf numFmtId="4" fontId="8" fillId="0" borderId="0" xfId="0" applyNumberFormat="1" applyFont="1" applyFill="1" applyBorder="1" applyProtection="1">
      <protection hidden="1"/>
    </xf>
    <xf numFmtId="3" fontId="9" fillId="0" borderId="0" xfId="0" applyNumberFormat="1"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vertical="center"/>
      <protection hidden="1"/>
    </xf>
    <xf numFmtId="170" fontId="8" fillId="0" borderId="0" xfId="0" applyNumberFormat="1" applyFont="1" applyFill="1" applyBorder="1" applyProtection="1">
      <protection hidden="1"/>
    </xf>
    <xf numFmtId="0" fontId="8" fillId="0" borderId="0" xfId="0" applyFont="1" applyFill="1" applyBorder="1" applyAlignment="1" applyProtection="1">
      <alignment horizontal="center" vertical="center"/>
      <protection hidden="1"/>
    </xf>
    <xf numFmtId="0" fontId="8" fillId="2" borderId="9" xfId="0" applyFont="1" applyFill="1" applyBorder="1" applyAlignment="1" applyProtection="1">
      <alignment horizontal="center"/>
      <protection hidden="1"/>
    </xf>
    <xf numFmtId="0" fontId="8" fillId="0" borderId="10" xfId="0" applyFont="1" applyFill="1" applyBorder="1" applyAlignment="1" applyProtection="1">
      <alignment horizontal="center" vertical="center"/>
      <protection hidden="1"/>
    </xf>
    <xf numFmtId="1" fontId="8" fillId="0" borderId="33" xfId="0" applyNumberFormat="1" applyFont="1" applyBorder="1" applyAlignment="1" applyProtection="1">
      <alignment horizontal="center" vertical="center"/>
      <protection hidden="1"/>
    </xf>
    <xf numFmtId="1" fontId="8" fillId="0" borderId="34" xfId="0" applyNumberFormat="1" applyFont="1" applyBorder="1" applyAlignment="1" applyProtection="1">
      <alignment horizontal="center" vertical="center"/>
      <protection hidden="1"/>
    </xf>
    <xf numFmtId="3" fontId="8" fillId="0" borderId="34" xfId="0" applyNumberFormat="1" applyFont="1" applyBorder="1" applyAlignment="1" applyProtection="1">
      <alignment horizontal="center" vertical="center"/>
      <protection hidden="1"/>
    </xf>
    <xf numFmtId="4" fontId="24" fillId="0" borderId="34" xfId="0" applyNumberFormat="1" applyFont="1" applyBorder="1" applyAlignment="1" applyProtection="1">
      <alignment horizontal="center" vertical="center"/>
      <protection locked="0"/>
    </xf>
    <xf numFmtId="178" fontId="8" fillId="0" borderId="69" xfId="0" applyNumberFormat="1" applyFont="1" applyBorder="1" applyAlignment="1" applyProtection="1">
      <alignment horizontal="center" vertical="center"/>
      <protection hidden="1"/>
    </xf>
    <xf numFmtId="0" fontId="6" fillId="0" borderId="0"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10" xfId="0" applyFont="1" applyBorder="1" applyAlignment="1" applyProtection="1">
      <alignment horizontal="center"/>
      <protection hidden="1"/>
    </xf>
    <xf numFmtId="174" fontId="4" fillId="0" borderId="33" xfId="0" applyNumberFormat="1" applyFont="1" applyFill="1" applyBorder="1" applyAlignment="1" applyProtection="1">
      <alignment horizontal="center" vertical="center"/>
      <protection hidden="1"/>
    </xf>
    <xf numFmtId="0" fontId="4" fillId="0" borderId="34" xfId="0" applyFont="1" applyFill="1" applyBorder="1" applyAlignment="1" applyProtection="1">
      <alignment horizontal="left" vertical="center" wrapText="1"/>
      <protection hidden="1"/>
    </xf>
    <xf numFmtId="0" fontId="0" fillId="0" borderId="0" xfId="0" applyAlignment="1">
      <alignment wrapText="1"/>
    </xf>
    <xf numFmtId="180" fontId="0" fillId="0" borderId="0" xfId="0" applyNumberFormat="1"/>
    <xf numFmtId="179" fontId="0" fillId="0" borderId="0" xfId="7" applyNumberFormat="1" applyFont="1"/>
    <xf numFmtId="1" fontId="7" fillId="0" borderId="33" xfId="0" applyNumberFormat="1" applyFont="1" applyFill="1" applyBorder="1" applyAlignment="1" applyProtection="1">
      <alignment horizontal="center" vertical="center"/>
      <protection hidden="1"/>
    </xf>
    <xf numFmtId="1" fontId="7" fillId="0" borderId="34" xfId="0" applyNumberFormat="1" applyFont="1" applyFill="1" applyBorder="1" applyAlignment="1" applyProtection="1">
      <alignment horizontal="center" vertical="center"/>
      <protection hidden="1"/>
    </xf>
    <xf numFmtId="3" fontId="6" fillId="6" borderId="29" xfId="11" applyNumberFormat="1" applyFont="1" applyFill="1" applyBorder="1" applyAlignment="1" applyProtection="1">
      <alignment horizontal="right"/>
      <protection hidden="1"/>
    </xf>
    <xf numFmtId="3" fontId="6" fillId="8" borderId="36" xfId="11" applyNumberFormat="1" applyFont="1" applyFill="1" applyBorder="1" applyAlignment="1" applyProtection="1">
      <alignment horizontal="right"/>
      <protection hidden="1"/>
    </xf>
    <xf numFmtId="3" fontId="6" fillId="7" borderId="30" xfId="11" applyNumberFormat="1" applyFont="1" applyFill="1" applyBorder="1" applyAlignment="1" applyProtection="1">
      <alignment horizontal="right"/>
      <protection hidden="1"/>
    </xf>
    <xf numFmtId="0" fontId="6" fillId="10" borderId="47" xfId="0" applyFont="1" applyFill="1" applyBorder="1" applyAlignment="1" applyProtection="1">
      <alignment horizontal="centerContinuous" vertical="center" wrapText="1"/>
      <protection locked="0"/>
    </xf>
    <xf numFmtId="0" fontId="6" fillId="10" borderId="5" xfId="0" applyFont="1" applyFill="1" applyBorder="1" applyAlignment="1" applyProtection="1">
      <alignment horizontal="centerContinuous" vertical="center" wrapText="1"/>
      <protection locked="0"/>
    </xf>
    <xf numFmtId="0" fontId="3" fillId="0" borderId="4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4" fontId="3" fillId="0" borderId="49" xfId="7" applyNumberFormat="1" applyFont="1" applyFill="1" applyBorder="1" applyAlignment="1" applyProtection="1">
      <alignment vertical="center"/>
      <protection locked="0"/>
    </xf>
    <xf numFmtId="171" fontId="3" fillId="0" borderId="34" xfId="0" applyNumberFormat="1" applyFont="1" applyFill="1" applyBorder="1" applyAlignment="1" applyProtection="1">
      <alignment horizontal="right" vertical="center"/>
      <protection locked="0"/>
    </xf>
    <xf numFmtId="3" fontId="3" fillId="0" borderId="49" xfId="7" applyNumberFormat="1" applyFont="1" applyFill="1" applyBorder="1" applyAlignment="1" applyProtection="1">
      <alignment horizontal="center" vertical="center"/>
      <protection locked="0"/>
    </xf>
    <xf numFmtId="3" fontId="3" fillId="0" borderId="40" xfId="0" applyNumberFormat="1" applyFont="1" applyFill="1" applyBorder="1" applyAlignment="1" applyProtection="1">
      <alignment horizontal="centerContinuous" vertical="center"/>
      <protection locked="0"/>
    </xf>
    <xf numFmtId="0" fontId="3" fillId="0" borderId="39" xfId="0" applyFont="1" applyBorder="1" applyAlignment="1" applyProtection="1">
      <alignment horizontal="center"/>
      <protection hidden="1"/>
    </xf>
    <xf numFmtId="3" fontId="3" fillId="0" borderId="39" xfId="7" applyNumberFormat="1" applyFont="1" applyFill="1" applyBorder="1" applyAlignment="1" applyProtection="1">
      <alignment horizontal="center" vertical="center"/>
      <protection locked="0"/>
    </xf>
    <xf numFmtId="3" fontId="3" fillId="0" borderId="39" xfId="0" applyNumberFormat="1" applyFont="1" applyFill="1" applyBorder="1" applyAlignment="1" applyProtection="1">
      <alignment horizontal="center" vertical="center"/>
      <protection locked="0"/>
    </xf>
    <xf numFmtId="0" fontId="12" fillId="9" borderId="44" xfId="0" applyFont="1" applyFill="1" applyBorder="1" applyAlignment="1" applyProtection="1">
      <alignment horizontal="centerContinuous"/>
      <protection locked="0"/>
    </xf>
    <xf numFmtId="0" fontId="12" fillId="9" borderId="46" xfId="0" applyFont="1" applyFill="1" applyBorder="1" applyAlignment="1" applyProtection="1">
      <alignment horizontal="centerContinuous"/>
      <protection hidden="1"/>
    </xf>
    <xf numFmtId="0" fontId="12" fillId="0" borderId="40" xfId="0" applyFont="1" applyFill="1" applyBorder="1" applyProtection="1">
      <protection hidden="1"/>
    </xf>
    <xf numFmtId="171" fontId="15" fillId="0" borderId="41" xfId="9" applyNumberFormat="1" applyFont="1" applyFill="1" applyBorder="1" applyAlignment="1" applyProtection="1">
      <alignment horizontal="center" vertical="center"/>
      <protection hidden="1"/>
    </xf>
    <xf numFmtId="1" fontId="6" fillId="2" borderId="62" xfId="12" applyNumberFormat="1" applyFont="1" applyFill="1" applyBorder="1" applyAlignment="1">
      <alignment horizontal="center" vertical="center" wrapText="1"/>
    </xf>
    <xf numFmtId="1" fontId="6" fillId="2" borderId="63" xfId="12" applyNumberFormat="1" applyFont="1" applyFill="1" applyBorder="1" applyAlignment="1">
      <alignment horizontal="center" vertical="center" wrapText="1"/>
    </xf>
    <xf numFmtId="1" fontId="6" fillId="2" borderId="63" xfId="12" applyNumberFormat="1" applyFont="1" applyFill="1" applyBorder="1" applyAlignment="1">
      <alignment horizontal="left" vertical="center" wrapText="1"/>
    </xf>
    <xf numFmtId="3" fontId="6" fillId="0" borderId="63" xfId="12" applyNumberFormat="1" applyFont="1" applyFill="1" applyBorder="1" applyAlignment="1">
      <alignment horizontal="center" vertical="center" wrapText="1"/>
    </xf>
    <xf numFmtId="184" fontId="6" fillId="0" borderId="63" xfId="12" applyNumberFormat="1" applyFont="1" applyFill="1" applyBorder="1" applyAlignment="1">
      <alignment horizontal="center" vertical="center" wrapText="1"/>
    </xf>
    <xf numFmtId="1" fontId="6" fillId="2" borderId="48" xfId="12" applyNumberFormat="1" applyFont="1" applyFill="1" applyBorder="1" applyAlignment="1">
      <alignment horizontal="center" vertical="center" wrapText="1"/>
    </xf>
    <xf numFmtId="1" fontId="6" fillId="2" borderId="34" xfId="12" applyNumberFormat="1" applyFont="1" applyFill="1" applyBorder="1" applyAlignment="1">
      <alignment horizontal="center" vertical="center" wrapText="1"/>
    </xf>
    <xf numFmtId="1" fontId="6" fillId="2" borderId="34" xfId="12" applyNumberFormat="1" applyFont="1" applyFill="1" applyBorder="1" applyAlignment="1">
      <alignment horizontal="left" vertical="center" wrapText="1"/>
    </xf>
    <xf numFmtId="3" fontId="6" fillId="0" borderId="34" xfId="12" applyNumberFormat="1" applyFont="1" applyFill="1" applyBorder="1" applyAlignment="1">
      <alignment horizontal="center" vertical="center" wrapText="1"/>
    </xf>
    <xf numFmtId="184" fontId="6" fillId="0" borderId="34" xfId="12" applyNumberFormat="1" applyFont="1" applyFill="1" applyBorder="1" applyAlignment="1">
      <alignment horizontal="center" vertical="center" wrapText="1"/>
    </xf>
    <xf numFmtId="0" fontId="32" fillId="0" borderId="0" xfId="0" applyFont="1" applyAlignment="1" applyProtection="1">
      <alignment horizontal="center" vertical="center"/>
      <protection hidden="1"/>
    </xf>
    <xf numFmtId="1" fontId="10" fillId="0" borderId="0" xfId="0" applyNumberFormat="1" applyFont="1" applyProtection="1">
      <protection hidden="1"/>
    </xf>
    <xf numFmtId="0" fontId="4" fillId="0" borderId="106" xfId="0" applyFont="1" applyFill="1" applyBorder="1" applyAlignment="1" applyProtection="1">
      <alignment horizontal="center" vertical="center" wrapText="1"/>
      <protection hidden="1"/>
    </xf>
    <xf numFmtId="179" fontId="6" fillId="10" borderId="38" xfId="7" applyNumberFormat="1" applyFont="1" applyFill="1" applyBorder="1" applyAlignment="1" applyProtection="1">
      <alignment vertical="center" wrapText="1"/>
      <protection locked="0"/>
    </xf>
    <xf numFmtId="0" fontId="6" fillId="10" borderId="62" xfId="0" applyFont="1" applyFill="1" applyBorder="1" applyAlignment="1" applyProtection="1">
      <alignment horizontal="centerContinuous" vertical="center" wrapText="1"/>
      <protection locked="0"/>
    </xf>
    <xf numFmtId="179" fontId="6" fillId="10" borderId="63" xfId="7" applyNumberFormat="1" applyFont="1" applyFill="1" applyBorder="1" applyAlignment="1" applyProtection="1">
      <alignment vertical="center" wrapText="1"/>
      <protection locked="0"/>
    </xf>
    <xf numFmtId="0" fontId="6" fillId="10" borderId="64" xfId="0" applyFont="1" applyFill="1" applyBorder="1" applyAlignment="1" applyProtection="1">
      <alignment horizontal="centerContinuous" vertical="center" wrapText="1"/>
      <protection locked="0"/>
    </xf>
    <xf numFmtId="0" fontId="10" fillId="0" borderId="9" xfId="0" applyFont="1" applyBorder="1" applyProtection="1">
      <protection hidden="1"/>
    </xf>
    <xf numFmtId="170" fontId="6" fillId="10" borderId="5" xfId="0" applyNumberFormat="1" applyFont="1" applyFill="1" applyBorder="1" applyAlignment="1" applyProtection="1">
      <alignment horizontal="centerContinuous" vertical="center" wrapText="1"/>
      <protection locked="0"/>
    </xf>
    <xf numFmtId="0" fontId="0" fillId="0" borderId="0" xfId="0" applyAlignment="1">
      <alignment horizontal="center" vertical="center"/>
    </xf>
    <xf numFmtId="0" fontId="3" fillId="2" borderId="0" xfId="12" applyFont="1" applyFill="1" applyAlignment="1">
      <alignment horizontal="center" vertical="center" wrapText="1"/>
    </xf>
    <xf numFmtId="3" fontId="3" fillId="2" borderId="0" xfId="12" applyNumberFormat="1" applyFont="1" applyFill="1" applyAlignment="1">
      <alignment horizontal="center" vertical="center"/>
    </xf>
    <xf numFmtId="0" fontId="6" fillId="2" borderId="42" xfId="12" applyFont="1" applyFill="1" applyBorder="1" applyAlignment="1">
      <alignment horizontal="center" vertical="center"/>
    </xf>
    <xf numFmtId="0" fontId="3" fillId="0" borderId="107" xfId="11" applyFont="1" applyFill="1" applyBorder="1"/>
    <xf numFmtId="211" fontId="4" fillId="0" borderId="35" xfId="0" applyNumberFormat="1" applyFont="1" applyFill="1" applyBorder="1" applyAlignment="1" applyProtection="1">
      <alignment horizontal="right" vertical="center"/>
      <protection hidden="1"/>
    </xf>
    <xf numFmtId="211" fontId="6" fillId="0" borderId="49" xfId="12" applyNumberFormat="1" applyFont="1" applyFill="1" applyBorder="1" applyAlignment="1">
      <alignment horizontal="center" vertical="center" wrapText="1"/>
    </xf>
    <xf numFmtId="211" fontId="8" fillId="0" borderId="34" xfId="0" applyNumberFormat="1" applyFont="1" applyFill="1" applyBorder="1" applyAlignment="1" applyProtection="1">
      <alignment horizontal="center" vertical="center"/>
      <protection hidden="1"/>
    </xf>
    <xf numFmtId="3" fontId="56" fillId="43" borderId="1" xfId="0" applyNumberFormat="1" applyFont="1" applyFill="1" applyBorder="1" applyAlignment="1" applyProtection="1">
      <alignment horizontal="centerContinuous" vertical="center"/>
      <protection locked="0"/>
    </xf>
    <xf numFmtId="171" fontId="19" fillId="0" borderId="0" xfId="0" applyNumberFormat="1" applyFont="1" applyFill="1" applyAlignment="1" applyProtection="1">
      <protection hidden="1"/>
    </xf>
    <xf numFmtId="171" fontId="3" fillId="0" borderId="0" xfId="0" applyNumberFormat="1" applyFont="1" applyFill="1" applyAlignment="1" applyProtection="1">
      <protection hidden="1"/>
    </xf>
    <xf numFmtId="171" fontId="9" fillId="0" borderId="0" xfId="0" applyNumberFormat="1" applyFont="1" applyProtection="1">
      <protection hidden="1"/>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wrapText="1"/>
    </xf>
    <xf numFmtId="0" fontId="6" fillId="0" borderId="109" xfId="0" applyFont="1" applyFill="1" applyBorder="1" applyAlignment="1" applyProtection="1">
      <alignment horizontal="center" vertical="center"/>
      <protection hidden="1"/>
    </xf>
    <xf numFmtId="0" fontId="6" fillId="0" borderId="109" xfId="0" quotePrefix="1" applyFont="1" applyFill="1" applyBorder="1" applyAlignment="1" applyProtection="1">
      <alignment horizontal="center" vertical="center"/>
      <protection hidden="1"/>
    </xf>
    <xf numFmtId="0" fontId="6" fillId="0" borderId="110" xfId="0"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wrapText="1"/>
      <protection hidden="1"/>
    </xf>
    <xf numFmtId="0" fontId="6" fillId="0" borderId="108" xfId="0" quotePrefix="1" applyFont="1" applyFill="1" applyBorder="1" applyAlignment="1" applyProtection="1">
      <alignment horizontal="center" vertical="center"/>
      <protection hidden="1"/>
    </xf>
    <xf numFmtId="182" fontId="0" fillId="0" borderId="0" xfId="0" applyNumberFormat="1"/>
    <xf numFmtId="0" fontId="58" fillId="0" borderId="0" xfId="0" applyFont="1"/>
    <xf numFmtId="0" fontId="58" fillId="2" borderId="0" xfId="12" applyFont="1" applyFill="1"/>
    <xf numFmtId="0" fontId="58" fillId="2" borderId="0" xfId="12" applyFont="1" applyFill="1" applyAlignment="1">
      <alignment wrapText="1"/>
    </xf>
    <xf numFmtId="183" fontId="58" fillId="2" borderId="0" xfId="12" applyNumberFormat="1" applyFont="1" applyFill="1" applyAlignment="1">
      <alignment horizontal="center" vertical="center"/>
    </xf>
    <xf numFmtId="183" fontId="58" fillId="2" borderId="0" xfId="12" applyNumberFormat="1" applyFont="1" applyFill="1"/>
    <xf numFmtId="213" fontId="3" fillId="2" borderId="0" xfId="12" applyNumberFormat="1" applyFont="1" applyFill="1" applyAlignment="1">
      <alignment horizontal="center" vertical="center"/>
    </xf>
    <xf numFmtId="0" fontId="0" fillId="44" borderId="0" xfId="0" applyFill="1"/>
    <xf numFmtId="212" fontId="6" fillId="2" borderId="63" xfId="12" applyNumberFormat="1" applyFont="1" applyFill="1" applyBorder="1" applyAlignment="1">
      <alignment horizontal="center" vertical="center" wrapText="1"/>
    </xf>
    <xf numFmtId="212" fontId="6" fillId="2" borderId="34" xfId="12" applyNumberFormat="1" applyFont="1" applyFill="1" applyBorder="1" applyAlignment="1">
      <alignment horizontal="center" vertical="center" wrapText="1"/>
    </xf>
    <xf numFmtId="212" fontId="8" fillId="0" borderId="34" xfId="0" applyNumberFormat="1" applyFont="1" applyFill="1" applyBorder="1" applyAlignment="1" applyProtection="1">
      <alignment horizontal="center" vertical="center"/>
      <protection hidden="1"/>
    </xf>
    <xf numFmtId="4" fontId="6" fillId="44" borderId="1" xfId="7" applyNumberFormat="1" applyFont="1" applyFill="1" applyBorder="1" applyAlignment="1" applyProtection="1">
      <alignment horizontal="right" vertical="center"/>
      <protection locked="0"/>
    </xf>
    <xf numFmtId="0" fontId="10" fillId="0" borderId="25" xfId="0" applyFont="1" applyBorder="1" applyAlignment="1" applyProtection="1">
      <alignment horizontal="center"/>
      <protection hidden="1"/>
    </xf>
    <xf numFmtId="0" fontId="10" fillId="0" borderId="2" xfId="0" applyFont="1" applyBorder="1" applyAlignment="1" applyProtection="1">
      <alignment horizontal="center"/>
      <protection hidden="1"/>
    </xf>
    <xf numFmtId="3" fontId="3" fillId="0" borderId="113" xfId="0" applyNumberFormat="1" applyFont="1" applyFill="1" applyBorder="1" applyAlignment="1" applyProtection="1">
      <alignment horizontal="centerContinuous" vertical="center"/>
      <protection locked="0"/>
    </xf>
    <xf numFmtId="0" fontId="3" fillId="0" borderId="0" xfId="0" applyFont="1" applyFill="1" applyAlignment="1" applyProtection="1">
      <alignment horizontal="right" vertical="center"/>
      <protection hidden="1"/>
    </xf>
    <xf numFmtId="3" fontId="3" fillId="0" borderId="40" xfId="0" applyNumberFormat="1" applyFont="1" applyFill="1" applyBorder="1" applyAlignment="1" applyProtection="1">
      <alignment horizontal="right" vertical="center"/>
      <protection locked="0"/>
    </xf>
    <xf numFmtId="3" fontId="3" fillId="0" borderId="3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3" fillId="0" borderId="0" xfId="0" applyFont="1" applyAlignment="1" applyProtection="1">
      <alignment horizontal="right" vertical="center"/>
      <protection hidden="1"/>
    </xf>
    <xf numFmtId="0" fontId="15" fillId="9" borderId="43" xfId="0" applyFont="1" applyFill="1" applyBorder="1" applyAlignment="1" applyProtection="1">
      <alignment horizontal="centerContinuous" vertical="center"/>
      <protection locked="0"/>
    </xf>
    <xf numFmtId="181" fontId="10" fillId="0" borderId="0" xfId="3" applyNumberFormat="1" applyFont="1" applyAlignment="1" applyProtection="1">
      <alignment horizontal="center" vertical="center"/>
      <protection hidden="1"/>
    </xf>
    <xf numFmtId="182" fontId="58" fillId="2" borderId="0" xfId="12" applyNumberFormat="1" applyFont="1" applyFill="1" applyAlignment="1">
      <alignment horizontal="right" vertical="center"/>
    </xf>
    <xf numFmtId="169" fontId="58" fillId="2" borderId="0" xfId="3" applyFont="1" applyFill="1" applyAlignment="1">
      <alignment horizontal="center" vertical="center"/>
    </xf>
    <xf numFmtId="0" fontId="10" fillId="0" borderId="114" xfId="0" applyFont="1" applyBorder="1" applyAlignment="1" applyProtection="1">
      <alignment horizontal="center"/>
      <protection hidden="1"/>
    </xf>
    <xf numFmtId="0" fontId="10" fillId="0" borderId="51" xfId="0" applyFont="1" applyBorder="1" applyAlignment="1" applyProtection="1">
      <alignment horizontal="center"/>
      <protection hidden="1"/>
    </xf>
    <xf numFmtId="4" fontId="6" fillId="44" borderId="55" xfId="7" applyNumberFormat="1" applyFont="1" applyFill="1" applyBorder="1" applyAlignment="1" applyProtection="1">
      <alignment horizontal="right" vertical="center"/>
      <protection locked="0"/>
    </xf>
    <xf numFmtId="172" fontId="7" fillId="0" borderId="34" xfId="0" applyNumberFormat="1" applyFont="1" applyFill="1" applyBorder="1" applyAlignment="1" applyProtection="1">
      <alignment horizontal="center" vertical="center" wrapText="1"/>
      <protection locked="0"/>
    </xf>
    <xf numFmtId="171" fontId="3" fillId="0" borderId="119" xfId="0" applyNumberFormat="1" applyFont="1" applyFill="1" applyBorder="1" applyAlignment="1" applyProtection="1">
      <alignment horizontal="right" vertical="center"/>
      <protection locked="0"/>
    </xf>
    <xf numFmtId="3" fontId="3" fillId="0" borderId="61" xfId="7" applyNumberFormat="1" applyFont="1" applyFill="1" applyBorder="1" applyAlignment="1" applyProtection="1">
      <alignment horizontal="center" vertical="center"/>
      <protection locked="0"/>
    </xf>
    <xf numFmtId="1" fontId="56" fillId="0" borderId="0" xfId="12" applyNumberFormat="1" applyFont="1" applyAlignment="1">
      <alignment horizontal="centerContinuous" vertical="center" wrapText="1"/>
    </xf>
    <xf numFmtId="1" fontId="60" fillId="0" borderId="0" xfId="12" applyNumberFormat="1" applyFont="1" applyAlignment="1">
      <alignment horizontal="centerContinuous" vertical="center" wrapText="1"/>
    </xf>
    <xf numFmtId="211" fontId="8" fillId="0" borderId="35" xfId="0" applyNumberFormat="1" applyFont="1" applyBorder="1" applyAlignment="1" applyProtection="1">
      <alignment horizontal="center" vertical="center"/>
      <protection hidden="1"/>
    </xf>
    <xf numFmtId="0" fontId="6" fillId="45" borderId="13" xfId="0" applyFont="1" applyFill="1" applyBorder="1" applyAlignment="1" applyProtection="1">
      <alignment horizontal="center" vertical="center" wrapText="1"/>
      <protection locked="0"/>
    </xf>
    <xf numFmtId="0" fontId="6" fillId="45" borderId="115" xfId="0" applyFont="1" applyFill="1" applyBorder="1" applyAlignment="1" applyProtection="1">
      <alignment vertical="center" wrapText="1"/>
      <protection locked="0"/>
    </xf>
    <xf numFmtId="0" fontId="6" fillId="45" borderId="57" xfId="0" applyFont="1" applyFill="1" applyBorder="1" applyAlignment="1" applyProtection="1">
      <alignment horizontal="center" vertical="center" wrapText="1"/>
      <protection locked="0"/>
    </xf>
    <xf numFmtId="0" fontId="6" fillId="45" borderId="121" xfId="0" applyFont="1" applyFill="1" applyBorder="1" applyAlignment="1" applyProtection="1">
      <alignment horizontal="center" vertical="center" wrapText="1"/>
      <protection hidden="1"/>
    </xf>
    <xf numFmtId="0" fontId="10" fillId="0" borderId="122" xfId="0" applyFont="1" applyBorder="1" applyAlignment="1" applyProtection="1">
      <alignment horizontal="center"/>
      <protection hidden="1"/>
    </xf>
    <xf numFmtId="4" fontId="6" fillId="46" borderId="55" xfId="7" applyNumberFormat="1" applyFont="1" applyFill="1" applyBorder="1" applyAlignment="1" applyProtection="1">
      <alignment horizontal="right" vertical="center"/>
      <protection locked="0"/>
    </xf>
    <xf numFmtId="0" fontId="6" fillId="46" borderId="53" xfId="0" applyFont="1" applyFill="1" applyBorder="1" applyAlignment="1" applyProtection="1">
      <alignment horizontal="right" vertical="center"/>
      <protection locked="0"/>
    </xf>
    <xf numFmtId="0" fontId="6" fillId="46" borderId="54" xfId="0" applyFont="1" applyFill="1" applyBorder="1" applyAlignment="1" applyProtection="1">
      <alignment horizontal="right" vertical="center"/>
      <protection locked="0"/>
    </xf>
    <xf numFmtId="0" fontId="6" fillId="46" borderId="54" xfId="0" quotePrefix="1" applyFont="1" applyFill="1" applyBorder="1" applyAlignment="1" applyProtection="1">
      <alignment horizontal="right" vertical="center"/>
      <protection locked="0"/>
    </xf>
    <xf numFmtId="4" fontId="6" fillId="46" borderId="54" xfId="0" applyNumberFormat="1" applyFont="1" applyFill="1" applyBorder="1" applyAlignment="1" applyProtection="1">
      <alignment horizontal="right" vertical="center"/>
      <protection locked="0"/>
    </xf>
    <xf numFmtId="10" fontId="6" fillId="44" borderId="60" xfId="228" applyNumberFormat="1" applyFont="1" applyFill="1" applyBorder="1" applyAlignment="1" applyProtection="1">
      <alignment horizontal="center" vertical="center"/>
      <protection locked="0"/>
    </xf>
    <xf numFmtId="10" fontId="6" fillId="10" borderId="60" xfId="228" applyNumberFormat="1" applyFont="1" applyFill="1" applyBorder="1" applyAlignment="1" applyProtection="1">
      <alignment horizontal="center" vertical="center"/>
      <protection locked="0"/>
    </xf>
    <xf numFmtId="4" fontId="6" fillId="10" borderId="55" xfId="7" applyNumberFormat="1" applyFont="1" applyFill="1" applyBorder="1" applyAlignment="1" applyProtection="1">
      <alignment horizontal="right" vertical="center"/>
      <protection locked="0"/>
    </xf>
    <xf numFmtId="0" fontId="6" fillId="46" borderId="56" xfId="0" applyFont="1" applyFill="1" applyBorder="1" applyAlignment="1" applyProtection="1">
      <alignment horizontal="right" vertical="center"/>
      <protection locked="0"/>
    </xf>
    <xf numFmtId="0" fontId="6" fillId="46" borderId="57" xfId="0" applyFont="1" applyFill="1" applyBorder="1" applyAlignment="1" applyProtection="1">
      <alignment horizontal="right" vertical="center"/>
      <protection locked="0"/>
    </xf>
    <xf numFmtId="0" fontId="6" fillId="46" borderId="57" xfId="0" quotePrefix="1" applyFont="1" applyFill="1" applyBorder="1" applyAlignment="1" applyProtection="1">
      <alignment horizontal="right" vertical="center"/>
      <protection locked="0"/>
    </xf>
    <xf numFmtId="4" fontId="6" fillId="46" borderId="57" xfId="0" applyNumberFormat="1" applyFont="1" applyFill="1" applyBorder="1" applyAlignment="1" applyProtection="1">
      <alignment horizontal="right" vertical="center"/>
      <protection locked="0"/>
    </xf>
    <xf numFmtId="4" fontId="6" fillId="46" borderId="58" xfId="7" applyNumberFormat="1" applyFont="1" applyFill="1" applyBorder="1" applyAlignment="1" applyProtection="1">
      <alignment horizontal="right" vertical="center"/>
      <protection locked="0"/>
    </xf>
    <xf numFmtId="10" fontId="6" fillId="10" borderId="1" xfId="228" applyNumberFormat="1" applyFont="1" applyFill="1" applyBorder="1" applyAlignment="1" applyProtection="1">
      <alignment horizontal="centerContinuous" vertical="center"/>
      <protection locked="0"/>
    </xf>
    <xf numFmtId="4" fontId="6" fillId="47" borderId="117" xfId="7" applyNumberFormat="1" applyFont="1" applyFill="1" applyBorder="1" applyAlignment="1" applyProtection="1">
      <alignment horizontal="right" vertical="center"/>
      <protection locked="0"/>
    </xf>
    <xf numFmtId="4" fontId="6" fillId="47" borderId="1" xfId="7" applyNumberFormat="1" applyFont="1" applyFill="1" applyBorder="1" applyAlignment="1" applyProtection="1">
      <alignment horizontal="right" vertical="center"/>
      <protection locked="0"/>
    </xf>
    <xf numFmtId="4" fontId="6" fillId="10" borderId="1" xfId="7" applyNumberFormat="1" applyFont="1" applyFill="1" applyBorder="1" applyAlignment="1" applyProtection="1">
      <alignment horizontal="right" vertical="center"/>
      <protection locked="0"/>
    </xf>
    <xf numFmtId="4" fontId="6" fillId="46" borderId="42" xfId="7" applyNumberFormat="1" applyFont="1" applyFill="1" applyBorder="1" applyAlignment="1" applyProtection="1">
      <alignment horizontal="right" vertical="center"/>
      <protection locked="0"/>
    </xf>
    <xf numFmtId="10" fontId="3" fillId="0" borderId="1" xfId="228" applyNumberFormat="1" applyFont="1" applyFill="1" applyBorder="1" applyAlignment="1" applyProtection="1">
      <alignment horizontal="centerContinuous" vertical="center"/>
      <protection locked="0"/>
    </xf>
    <xf numFmtId="10" fontId="3" fillId="44" borderId="1" xfId="228" applyNumberFormat="1" applyFont="1" applyFill="1" applyBorder="1" applyAlignment="1" applyProtection="1">
      <alignment horizontal="centerContinuous" vertical="center"/>
      <protection locked="0"/>
    </xf>
    <xf numFmtId="214" fontId="3" fillId="0" borderId="113" xfId="228" applyNumberFormat="1" applyFont="1" applyFill="1" applyBorder="1" applyAlignment="1" applyProtection="1">
      <alignment horizontal="centerContinuous" vertical="center"/>
      <protection locked="0"/>
    </xf>
    <xf numFmtId="3" fontId="6" fillId="45" borderId="32" xfId="11" applyNumberFormat="1" applyFont="1" applyFill="1" applyBorder="1" applyAlignment="1" applyProtection="1">
      <alignment horizontal="right"/>
      <protection hidden="1"/>
    </xf>
    <xf numFmtId="0" fontId="15" fillId="45" borderId="42" xfId="12" applyFont="1" applyFill="1" applyBorder="1" applyAlignment="1">
      <alignment horizontal="center" vertical="center" wrapText="1"/>
    </xf>
    <xf numFmtId="0" fontId="30" fillId="45" borderId="14" xfId="13" applyFont="1" applyFill="1" applyBorder="1" applyAlignment="1">
      <alignment horizontal="center" vertical="center"/>
    </xf>
    <xf numFmtId="0" fontId="29" fillId="45" borderId="6" xfId="13" applyFont="1" applyFill="1" applyBorder="1" applyAlignment="1">
      <alignment horizontal="center" vertical="center"/>
    </xf>
    <xf numFmtId="0" fontId="1" fillId="45" borderId="6" xfId="13" applyFont="1" applyFill="1" applyBorder="1" applyAlignment="1">
      <alignment horizontal="center" vertical="center"/>
    </xf>
    <xf numFmtId="179" fontId="15" fillId="45" borderId="71" xfId="7" applyNumberFormat="1" applyFont="1" applyFill="1" applyBorder="1" applyAlignment="1">
      <alignment horizontal="center" vertical="center" wrapText="1"/>
    </xf>
    <xf numFmtId="0" fontId="15" fillId="45" borderId="66" xfId="12" applyFont="1" applyFill="1" applyBorder="1" applyAlignment="1">
      <alignment horizontal="center" vertical="center" wrapText="1"/>
    </xf>
    <xf numFmtId="0" fontId="15" fillId="45" borderId="67" xfId="12" applyFont="1" applyFill="1" applyBorder="1" applyAlignment="1">
      <alignment horizontal="center" vertical="center" wrapText="1"/>
    </xf>
    <xf numFmtId="0" fontId="15" fillId="45" borderId="37" xfId="12" applyFont="1" applyFill="1" applyBorder="1" applyAlignment="1">
      <alignment horizontal="center" vertical="center"/>
    </xf>
    <xf numFmtId="0" fontId="15" fillId="45" borderId="59" xfId="12" applyFont="1" applyFill="1" applyBorder="1" applyAlignment="1">
      <alignment horizontal="center" vertical="center"/>
    </xf>
    <xf numFmtId="0" fontId="6" fillId="45" borderId="55" xfId="12" applyFont="1" applyFill="1" applyBorder="1" applyAlignment="1">
      <alignment horizontal="center" vertical="center"/>
    </xf>
    <xf numFmtId="0" fontId="15" fillId="45" borderId="70" xfId="0" applyFont="1" applyFill="1" applyBorder="1" applyAlignment="1" applyProtection="1">
      <alignment horizontal="center"/>
      <protection hidden="1"/>
    </xf>
    <xf numFmtId="0" fontId="15" fillId="45" borderId="60" xfId="0" applyFont="1" applyFill="1" applyBorder="1" applyAlignment="1" applyProtection="1">
      <alignment horizontal="center"/>
      <protection hidden="1"/>
    </xf>
    <xf numFmtId="0" fontId="15" fillId="45" borderId="105" xfId="0" applyFont="1" applyFill="1" applyBorder="1" applyAlignment="1" applyProtection="1">
      <alignment horizontal="center"/>
      <protection hidden="1"/>
    </xf>
    <xf numFmtId="0" fontId="15" fillId="45" borderId="7" xfId="0" applyFont="1" applyFill="1" applyBorder="1" applyAlignment="1" applyProtection="1">
      <alignment horizontal="center"/>
      <protection hidden="1"/>
    </xf>
    <xf numFmtId="0" fontId="7" fillId="45" borderId="66" xfId="0" applyFont="1" applyFill="1" applyBorder="1" applyAlignment="1" applyProtection="1">
      <alignment horizontal="center" vertical="center" wrapText="1"/>
      <protection hidden="1"/>
    </xf>
    <xf numFmtId="0" fontId="7" fillId="45" borderId="66" xfId="0" applyFont="1" applyFill="1" applyBorder="1" applyAlignment="1" applyProtection="1">
      <alignment horizontal="center" vertical="center" wrapText="1"/>
      <protection locked="0"/>
    </xf>
    <xf numFmtId="0" fontId="7" fillId="45" borderId="68" xfId="0" applyFont="1" applyFill="1" applyBorder="1" applyAlignment="1" applyProtection="1">
      <alignment horizontal="center" vertical="center" wrapText="1"/>
      <protection hidden="1"/>
    </xf>
    <xf numFmtId="0" fontId="7" fillId="45" borderId="68" xfId="12" applyFont="1" applyFill="1" applyBorder="1" applyAlignment="1">
      <alignment horizontal="center" vertical="center" wrapText="1"/>
    </xf>
    <xf numFmtId="2" fontId="7" fillId="45" borderId="68" xfId="3" applyNumberFormat="1" applyFont="1" applyFill="1" applyBorder="1" applyAlignment="1" applyProtection="1">
      <alignment horizontal="center" vertical="center"/>
      <protection locked="0"/>
    </xf>
    <xf numFmtId="2" fontId="7" fillId="45" borderId="68" xfId="0" applyNumberFormat="1" applyFont="1" applyFill="1" applyBorder="1" applyAlignment="1" applyProtection="1">
      <alignment horizontal="center" vertical="center"/>
      <protection hidden="1"/>
    </xf>
    <xf numFmtId="4" fontId="7" fillId="45" borderId="72" xfId="0" applyNumberFormat="1" applyFont="1" applyFill="1" applyBorder="1" applyAlignment="1" applyProtection="1">
      <alignment horizontal="center" vertical="center"/>
      <protection hidden="1"/>
    </xf>
    <xf numFmtId="0" fontId="3" fillId="0" borderId="34" xfId="0" applyFont="1" applyFill="1" applyBorder="1" applyAlignment="1" applyProtection="1">
      <alignment horizontal="justify" vertical="center" wrapText="1"/>
      <protection locked="0"/>
    </xf>
    <xf numFmtId="0" fontId="3" fillId="0" borderId="123" xfId="0" applyFont="1" applyFill="1" applyBorder="1" applyAlignment="1" applyProtection="1">
      <alignment horizontal="center" vertical="center" wrapText="1"/>
      <protection locked="0"/>
    </xf>
    <xf numFmtId="0" fontId="3" fillId="0" borderId="124" xfId="0" applyFont="1" applyFill="1" applyBorder="1" applyAlignment="1" applyProtection="1">
      <alignment horizontal="center" vertical="center" wrapText="1"/>
      <protection locked="0"/>
    </xf>
    <xf numFmtId="0" fontId="3" fillId="0" borderId="124" xfId="0" applyFont="1" applyFill="1" applyBorder="1" applyAlignment="1" applyProtection="1">
      <alignment horizontal="justify" vertical="center" wrapText="1"/>
      <protection locked="0"/>
    </xf>
    <xf numFmtId="4" fontId="3" fillId="0" borderId="125" xfId="7" applyNumberFormat="1" applyFont="1" applyFill="1" applyBorder="1" applyAlignment="1" applyProtection="1">
      <alignment vertical="center"/>
      <protection locked="0"/>
    </xf>
    <xf numFmtId="0" fontId="6" fillId="46" borderId="50" xfId="0" applyFont="1" applyFill="1" applyBorder="1" applyAlignment="1" applyProtection="1">
      <alignment horizontal="right" vertical="center"/>
      <protection locked="0"/>
    </xf>
    <xf numFmtId="0" fontId="6" fillId="46" borderId="51" xfId="0" applyFont="1" applyFill="1" applyBorder="1" applyAlignment="1" applyProtection="1">
      <alignment horizontal="right" vertical="center"/>
      <protection locked="0"/>
    </xf>
    <xf numFmtId="0" fontId="6" fillId="46" borderId="51" xfId="0" quotePrefix="1" applyFont="1" applyFill="1" applyBorder="1" applyAlignment="1" applyProtection="1">
      <alignment horizontal="right" vertical="center"/>
      <protection locked="0"/>
    </xf>
    <xf numFmtId="4" fontId="6" fillId="46" borderId="51" xfId="0" applyNumberFormat="1" applyFont="1" applyFill="1" applyBorder="1" applyAlignment="1" applyProtection="1">
      <alignment horizontal="right" vertical="center"/>
      <protection locked="0"/>
    </xf>
    <xf numFmtId="4" fontId="6" fillId="46" borderId="52" xfId="7" applyNumberFormat="1" applyFont="1" applyFill="1" applyBorder="1" applyAlignment="1" applyProtection="1">
      <alignment horizontal="right" vertical="center"/>
      <protection locked="0"/>
    </xf>
    <xf numFmtId="0" fontId="6" fillId="0" borderId="109" xfId="0" applyFont="1" applyFill="1" applyBorder="1" applyAlignment="1" applyProtection="1">
      <alignment horizontal="center" vertical="center" wrapText="1"/>
      <protection hidden="1"/>
    </xf>
    <xf numFmtId="4" fontId="3" fillId="0" borderId="34" xfId="0" applyNumberFormat="1" applyFont="1" applyFill="1" applyBorder="1" applyAlignment="1" applyProtection="1">
      <alignment horizontal="right" vertical="center"/>
      <protection locked="0"/>
    </xf>
    <xf numFmtId="4" fontId="6" fillId="10" borderId="5" xfId="0" applyNumberFormat="1" applyFont="1" applyFill="1" applyBorder="1" applyAlignment="1" applyProtection="1">
      <alignment horizontal="centerContinuous" vertical="center" wrapText="1"/>
      <protection locked="0"/>
    </xf>
    <xf numFmtId="4" fontId="3" fillId="0" borderId="124" xfId="0" applyNumberFormat="1" applyFont="1" applyFill="1" applyBorder="1" applyAlignment="1" applyProtection="1">
      <alignment horizontal="right" vertical="center"/>
      <protection locked="0"/>
    </xf>
    <xf numFmtId="4" fontId="3" fillId="0" borderId="48" xfId="0" applyNumberFormat="1" applyFont="1" applyFill="1" applyBorder="1" applyAlignment="1" applyProtection="1">
      <alignment horizontal="right" vertical="center"/>
      <protection locked="0"/>
    </xf>
    <xf numFmtId="4" fontId="6" fillId="10" borderId="62" xfId="0" applyNumberFormat="1" applyFont="1" applyFill="1" applyBorder="1" applyAlignment="1" applyProtection="1">
      <alignment horizontal="centerContinuous" vertical="center" wrapText="1"/>
      <protection locked="0"/>
    </xf>
    <xf numFmtId="4" fontId="3" fillId="0" borderId="118" xfId="0" applyNumberFormat="1" applyFont="1" applyFill="1" applyBorder="1" applyAlignment="1" applyProtection="1">
      <alignment horizontal="right" vertical="center"/>
      <protection locked="0"/>
    </xf>
    <xf numFmtId="3" fontId="7" fillId="0" borderId="34" xfId="0" applyNumberFormat="1" applyFont="1" applyFill="1" applyBorder="1" applyAlignment="1">
      <alignment horizontal="center" vertical="center"/>
    </xf>
    <xf numFmtId="0" fontId="7" fillId="0" borderId="34" xfId="0" applyFont="1" applyFill="1" applyBorder="1" applyAlignment="1" applyProtection="1">
      <alignment horizontal="center" vertical="center"/>
      <protection hidden="1"/>
    </xf>
    <xf numFmtId="0" fontId="7" fillId="0" borderId="112" xfId="0" applyFont="1" applyFill="1" applyBorder="1" applyAlignment="1" applyProtection="1">
      <alignment horizontal="center" vertical="center"/>
      <protection hidden="1"/>
    </xf>
    <xf numFmtId="0" fontId="10" fillId="0" borderId="9" xfId="0" applyFont="1" applyFill="1" applyBorder="1" applyProtection="1">
      <protection hidden="1"/>
    </xf>
    <xf numFmtId="171" fontId="3" fillId="43" borderId="34" xfId="0" applyNumberFormat="1" applyFont="1" applyFill="1" applyBorder="1" applyAlignment="1" applyProtection="1">
      <alignment horizontal="right" vertical="center"/>
      <protection locked="0"/>
    </xf>
    <xf numFmtId="171" fontId="3" fillId="43" borderId="119" xfId="0" applyNumberFormat="1" applyFont="1" applyFill="1" applyBorder="1" applyAlignment="1" applyProtection="1">
      <alignment horizontal="right" vertical="center"/>
      <protection locked="0"/>
    </xf>
    <xf numFmtId="171" fontId="3" fillId="44" borderId="34" xfId="0" applyNumberFormat="1" applyFont="1" applyFill="1" applyBorder="1" applyAlignment="1" applyProtection="1">
      <alignment horizontal="right" vertical="center"/>
      <protection locked="0"/>
    </xf>
    <xf numFmtId="171" fontId="3" fillId="44" borderId="119" xfId="0" applyNumberFormat="1" applyFont="1" applyFill="1" applyBorder="1" applyAlignment="1" applyProtection="1">
      <alignment horizontal="right" vertical="center"/>
      <protection locked="0"/>
    </xf>
    <xf numFmtId="0" fontId="3" fillId="0" borderId="0" xfId="0" applyFont="1" applyAlignment="1" applyProtection="1">
      <alignment horizontal="center" vertical="center"/>
      <protection hidden="1"/>
    </xf>
    <xf numFmtId="181" fontId="3" fillId="0" borderId="0" xfId="3" applyNumberFormat="1" applyFont="1" applyAlignment="1" applyProtection="1">
      <alignment horizontal="center" vertical="center"/>
      <protection hidden="1"/>
    </xf>
    <xf numFmtId="0" fontId="6" fillId="45" borderId="23" xfId="11" applyFont="1" applyFill="1" applyBorder="1" applyAlignment="1" applyProtection="1">
      <alignment horizontal="center" vertical="center" wrapText="1"/>
      <protection hidden="1"/>
    </xf>
    <xf numFmtId="0" fontId="6" fillId="45" borderId="25" xfId="11" applyFont="1" applyFill="1" applyBorder="1" applyAlignment="1" applyProtection="1">
      <alignment horizontal="center" vertical="center" wrapText="1"/>
      <protection hidden="1"/>
    </xf>
    <xf numFmtId="0" fontId="6" fillId="45" borderId="9" xfId="11" applyFont="1" applyFill="1" applyBorder="1" applyAlignment="1" applyProtection="1">
      <alignment horizontal="center" vertical="center" wrapText="1"/>
      <protection hidden="1"/>
    </xf>
    <xf numFmtId="0" fontId="6" fillId="45" borderId="10" xfId="11" applyFont="1" applyFill="1" applyBorder="1" applyAlignment="1" applyProtection="1">
      <alignment horizontal="center" vertical="center" wrapText="1"/>
      <protection hidden="1"/>
    </xf>
    <xf numFmtId="0" fontId="6" fillId="45" borderId="11" xfId="11" applyFont="1" applyFill="1" applyBorder="1" applyAlignment="1" applyProtection="1">
      <alignment horizontal="center" vertical="center" wrapText="1"/>
      <protection hidden="1"/>
    </xf>
    <xf numFmtId="0" fontId="6" fillId="45" borderId="2" xfId="11" applyFont="1" applyFill="1" applyBorder="1" applyAlignment="1" applyProtection="1">
      <alignment horizontal="center" vertical="center" wrapText="1"/>
      <protection hidden="1"/>
    </xf>
    <xf numFmtId="1" fontId="6" fillId="0" borderId="0" xfId="12" applyNumberFormat="1" applyFont="1" applyAlignment="1">
      <alignment horizontal="center" vertical="center" wrapText="1"/>
    </xf>
    <xf numFmtId="0" fontId="3" fillId="0" borderId="11" xfId="0" applyFont="1" applyBorder="1" applyProtection="1">
      <protection hidden="1"/>
    </xf>
    <xf numFmtId="0" fontId="10" fillId="0" borderId="12" xfId="0" applyFont="1" applyBorder="1" applyProtection="1">
      <protection hidden="1"/>
    </xf>
    <xf numFmtId="0" fontId="6" fillId="45" borderId="75" xfId="0" applyFont="1" applyFill="1" applyBorder="1" applyAlignment="1" applyProtection="1">
      <alignment horizontal="center" vertical="center" wrapText="1"/>
      <protection hidden="1"/>
    </xf>
    <xf numFmtId="0" fontId="6" fillId="45" borderId="76" xfId="0" applyFont="1" applyFill="1" applyBorder="1" applyAlignment="1" applyProtection="1">
      <alignment horizontal="center" vertical="center" wrapText="1"/>
      <protection hidden="1"/>
    </xf>
    <xf numFmtId="0" fontId="6" fillId="45" borderId="78" xfId="0" applyFont="1" applyFill="1" applyBorder="1" applyAlignment="1" applyProtection="1">
      <alignment horizontal="center" vertical="center" wrapText="1"/>
      <protection hidden="1"/>
    </xf>
    <xf numFmtId="0" fontId="6" fillId="45" borderId="79" xfId="0" applyFont="1" applyFill="1" applyBorder="1" applyAlignment="1" applyProtection="1">
      <alignment horizontal="center" vertical="center" wrapText="1"/>
      <protection hidden="1"/>
    </xf>
    <xf numFmtId="0" fontId="6" fillId="45" borderId="74" xfId="0" applyFont="1" applyFill="1" applyBorder="1" applyAlignment="1" applyProtection="1">
      <alignment horizontal="center" vertical="center" wrapText="1"/>
      <protection hidden="1"/>
    </xf>
    <xf numFmtId="0" fontId="6" fillId="45" borderId="37" xfId="0" applyFont="1" applyFill="1" applyBorder="1" applyAlignment="1" applyProtection="1">
      <alignment horizontal="center" vertical="center" wrapText="1"/>
      <protection hidden="1"/>
    </xf>
    <xf numFmtId="0" fontId="6" fillId="45" borderId="77" xfId="0" applyFont="1" applyFill="1" applyBorder="1" applyAlignment="1" applyProtection="1">
      <alignment horizontal="center" vertical="center" wrapText="1"/>
      <protection hidden="1"/>
    </xf>
    <xf numFmtId="0" fontId="6" fillId="45" borderId="116" xfId="0" applyFont="1" applyFill="1" applyBorder="1" applyAlignment="1" applyProtection="1">
      <alignment horizontal="center" vertical="center" wrapText="1"/>
      <protection hidden="1"/>
    </xf>
    <xf numFmtId="0" fontId="6" fillId="0" borderId="0" xfId="12" applyFont="1" applyAlignment="1">
      <alignment horizontal="center" vertical="center"/>
    </xf>
    <xf numFmtId="0" fontId="6" fillId="0" borderId="12" xfId="12" applyFont="1" applyBorder="1" applyAlignment="1">
      <alignment horizontal="center" vertical="center"/>
    </xf>
    <xf numFmtId="0" fontId="6" fillId="45" borderId="73" xfId="0" applyFont="1" applyFill="1" applyBorder="1" applyAlignment="1" applyProtection="1">
      <alignment horizontal="center" vertical="center" wrapText="1"/>
      <protection locked="0"/>
    </xf>
    <xf numFmtId="0" fontId="6" fillId="45" borderId="120" xfId="0" applyFont="1" applyFill="1" applyBorder="1" applyAlignment="1" applyProtection="1">
      <alignment horizontal="center" vertical="center" wrapText="1"/>
      <protection locked="0"/>
    </xf>
    <xf numFmtId="1" fontId="4" fillId="0" borderId="0" xfId="12" applyNumberFormat="1" applyFont="1" applyAlignment="1">
      <alignment horizontal="center" vertical="center" wrapText="1"/>
    </xf>
    <xf numFmtId="1" fontId="4" fillId="0" borderId="81" xfId="0" quotePrefix="1" applyNumberFormat="1" applyFont="1" applyFill="1" applyBorder="1" applyAlignment="1" applyProtection="1">
      <alignment horizontal="center" vertical="center" wrapText="1"/>
      <protection hidden="1"/>
    </xf>
    <xf numFmtId="1" fontId="4" fillId="0" borderId="82" xfId="0" quotePrefix="1" applyNumberFormat="1" applyFont="1" applyFill="1" applyBorder="1" applyAlignment="1" applyProtection="1">
      <alignment horizontal="center" vertical="center" wrapText="1"/>
      <protection hidden="1"/>
    </xf>
    <xf numFmtId="1" fontId="4" fillId="0" borderId="83" xfId="0" quotePrefix="1" applyNumberFormat="1" applyFont="1" applyFill="1" applyBorder="1" applyAlignment="1" applyProtection="1">
      <alignment horizontal="center" vertical="center" wrapText="1"/>
      <protection hidden="1"/>
    </xf>
    <xf numFmtId="0" fontId="6" fillId="0" borderId="53" xfId="0" applyFont="1" applyFill="1" applyBorder="1" applyAlignment="1" applyProtection="1">
      <alignment horizontal="right" vertical="center" wrapText="1"/>
      <protection locked="0"/>
    </xf>
    <xf numFmtId="0" fontId="6" fillId="0" borderId="54"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right" vertical="center" wrapText="1"/>
      <protection locked="0"/>
    </xf>
    <xf numFmtId="0" fontId="6" fillId="10" borderId="53" xfId="0" quotePrefix="1" applyFont="1" applyFill="1" applyBorder="1" applyAlignment="1" applyProtection="1">
      <alignment horizontal="center" vertical="center"/>
      <protection locked="0"/>
    </xf>
    <xf numFmtId="0" fontId="6" fillId="10" borderId="54" xfId="0" quotePrefix="1" applyFont="1" applyFill="1" applyBorder="1" applyAlignment="1" applyProtection="1">
      <alignment horizontal="center" vertical="center"/>
      <protection locked="0"/>
    </xf>
    <xf numFmtId="0" fontId="6" fillId="10" borderId="36" xfId="0" quotePrefix="1" applyFont="1" applyFill="1" applyBorder="1" applyAlignment="1" applyProtection="1">
      <alignment horizontal="center" vertical="center"/>
      <protection locked="0"/>
    </xf>
    <xf numFmtId="0" fontId="9" fillId="0" borderId="23" xfId="0" applyFont="1" applyFill="1" applyBorder="1" applyAlignment="1" applyProtection="1">
      <alignment horizontal="justify" vertical="center" wrapText="1"/>
      <protection hidden="1"/>
    </xf>
    <xf numFmtId="0" fontId="9" fillId="0" borderId="24" xfId="0" applyFont="1" applyFill="1" applyBorder="1" applyAlignment="1" applyProtection="1">
      <alignment horizontal="justify" vertical="center" wrapText="1"/>
      <protection hidden="1"/>
    </xf>
    <xf numFmtId="0" fontId="9" fillId="0" borderId="25" xfId="0" applyFont="1" applyFill="1" applyBorder="1" applyAlignment="1" applyProtection="1">
      <alignment horizontal="justify" vertical="center" wrapText="1"/>
      <protection hidden="1"/>
    </xf>
    <xf numFmtId="0" fontId="9" fillId="0" borderId="9" xfId="0" applyFont="1" applyFill="1" applyBorder="1" applyAlignment="1" applyProtection="1">
      <alignment horizontal="justify" vertical="center" wrapText="1"/>
      <protection hidden="1"/>
    </xf>
    <xf numFmtId="0" fontId="9" fillId="0" borderId="0" xfId="0" applyFont="1" applyFill="1" applyBorder="1" applyAlignment="1" applyProtection="1">
      <alignment horizontal="justify" vertical="center" wrapText="1"/>
      <protection hidden="1"/>
    </xf>
    <xf numFmtId="0" fontId="9" fillId="0" borderId="10" xfId="0" applyFont="1" applyFill="1" applyBorder="1" applyAlignment="1" applyProtection="1">
      <alignment horizontal="justify" vertical="center" wrapText="1"/>
      <protection hidden="1"/>
    </xf>
    <xf numFmtId="0" fontId="9" fillId="0" borderId="11" xfId="0" applyFont="1" applyFill="1" applyBorder="1" applyAlignment="1" applyProtection="1">
      <alignment horizontal="justify" vertical="center" wrapText="1"/>
      <protection hidden="1"/>
    </xf>
    <xf numFmtId="0" fontId="9" fillId="0" borderId="12" xfId="0" applyFont="1" applyFill="1" applyBorder="1" applyAlignment="1" applyProtection="1">
      <alignment horizontal="justify" vertical="center" wrapText="1"/>
      <protection hidden="1"/>
    </xf>
    <xf numFmtId="0" fontId="9" fillId="0" borderId="2" xfId="0" applyFont="1" applyFill="1" applyBorder="1" applyAlignment="1" applyProtection="1">
      <alignment horizontal="justify" vertical="center" wrapText="1"/>
      <protection hidden="1"/>
    </xf>
    <xf numFmtId="0" fontId="6" fillId="0" borderId="3" xfId="0" applyFont="1" applyFill="1" applyBorder="1" applyAlignment="1" applyProtection="1">
      <alignment horizontal="center" vertical="center" wrapText="1"/>
      <protection hidden="1"/>
    </xf>
    <xf numFmtId="3" fontId="5" fillId="0" borderId="80" xfId="0" applyNumberFormat="1" applyFont="1" applyFill="1" applyBorder="1" applyAlignment="1" applyProtection="1">
      <alignment horizontal="center" vertical="center"/>
      <protection hidden="1"/>
    </xf>
    <xf numFmtId="1" fontId="4" fillId="0" borderId="0" xfId="0" quotePrefix="1" applyNumberFormat="1" applyFont="1" applyFill="1" applyAlignment="1" applyProtection="1">
      <alignment horizontal="center" vertical="center" wrapText="1"/>
      <protection hidden="1"/>
    </xf>
    <xf numFmtId="4" fontId="8" fillId="4" borderId="84" xfId="0" applyNumberFormat="1" applyFont="1" applyFill="1" applyBorder="1" applyAlignment="1" applyProtection="1">
      <alignment horizontal="center" vertical="center" wrapText="1"/>
      <protection hidden="1"/>
    </xf>
    <xf numFmtId="4" fontId="8" fillId="4" borderId="85" xfId="0" applyNumberFormat="1" applyFont="1" applyFill="1" applyBorder="1" applyAlignment="1" applyProtection="1">
      <alignment horizontal="center" vertical="center" wrapText="1"/>
      <protection hidden="1"/>
    </xf>
    <xf numFmtId="4" fontId="8" fillId="4" borderId="28" xfId="0" applyNumberFormat="1" applyFont="1" applyFill="1" applyBorder="1" applyAlignment="1" applyProtection="1">
      <alignment horizontal="center" vertical="center" wrapText="1"/>
      <protection hidden="1"/>
    </xf>
    <xf numFmtId="0" fontId="6" fillId="44" borderId="53" xfId="0" quotePrefix="1" applyFont="1" applyFill="1" applyBorder="1" applyAlignment="1" applyProtection="1">
      <alignment horizontal="center" vertical="center"/>
      <protection locked="0"/>
    </xf>
    <xf numFmtId="0" fontId="6" fillId="44" borderId="54" xfId="0" quotePrefix="1" applyFont="1" applyFill="1" applyBorder="1" applyAlignment="1" applyProtection="1">
      <alignment horizontal="center" vertical="center"/>
      <protection locked="0"/>
    </xf>
    <xf numFmtId="0" fontId="6" fillId="44" borderId="36" xfId="0" quotePrefix="1" applyFont="1" applyFill="1" applyBorder="1" applyAlignment="1" applyProtection="1">
      <alignment horizontal="center" vertical="center"/>
      <protection locked="0"/>
    </xf>
    <xf numFmtId="0" fontId="26" fillId="3" borderId="0" xfId="0" applyFont="1" applyFill="1" applyAlignment="1" applyProtection="1">
      <alignment horizontal="center" vertical="center" wrapText="1"/>
      <protection hidden="1"/>
    </xf>
    <xf numFmtId="0" fontId="5" fillId="0" borderId="3" xfId="0" applyFont="1" applyFill="1" applyBorder="1" applyAlignment="1" applyProtection="1">
      <alignment horizontal="center" vertical="center"/>
      <protection hidden="1"/>
    </xf>
    <xf numFmtId="4" fontId="6" fillId="2" borderId="86" xfId="12" applyNumberFormat="1" applyFont="1" applyFill="1" applyBorder="1" applyAlignment="1">
      <alignment horizontal="right" vertical="center" wrapText="1"/>
    </xf>
    <xf numFmtId="4" fontId="6" fillId="2" borderId="60" xfId="12" applyNumberFormat="1" applyFont="1" applyFill="1" applyBorder="1" applyAlignment="1">
      <alignment horizontal="right" vertical="center" wrapText="1"/>
    </xf>
    <xf numFmtId="0" fontId="15" fillId="45" borderId="86" xfId="12" applyFont="1" applyFill="1" applyBorder="1" applyAlignment="1">
      <alignment horizontal="center" vertical="center" wrapText="1"/>
    </xf>
    <xf numFmtId="0" fontId="15" fillId="45" borderId="87" xfId="12" applyFont="1" applyFill="1" applyBorder="1" applyAlignment="1">
      <alignment horizontal="center" vertical="center" wrapText="1"/>
    </xf>
    <xf numFmtId="0" fontId="15" fillId="45" borderId="60" xfId="12" applyFont="1" applyFill="1" applyBorder="1" applyAlignment="1">
      <alignment horizontal="center" vertical="center" wrapText="1"/>
    </xf>
    <xf numFmtId="0" fontId="15" fillId="45" borderId="13" xfId="12" applyFont="1" applyFill="1" applyBorder="1" applyAlignment="1">
      <alignment horizontal="center" vertical="center" wrapText="1"/>
    </xf>
    <xf numFmtId="0" fontId="15" fillId="45" borderId="60" xfId="12" applyFont="1" applyFill="1" applyBorder="1" applyAlignment="1">
      <alignment horizontal="center" vertical="center"/>
    </xf>
    <xf numFmtId="0" fontId="15" fillId="45" borderId="13" xfId="12" applyFont="1" applyFill="1" applyBorder="1" applyAlignment="1">
      <alignment horizontal="center" vertical="center"/>
    </xf>
    <xf numFmtId="4" fontId="6" fillId="2" borderId="87" xfId="12" applyNumberFormat="1" applyFont="1" applyFill="1" applyBorder="1" applyAlignment="1">
      <alignment horizontal="right" vertical="center" wrapText="1"/>
    </xf>
    <xf numFmtId="4" fontId="6" fillId="2" borderId="13" xfId="12" applyNumberFormat="1" applyFont="1" applyFill="1" applyBorder="1" applyAlignment="1">
      <alignment horizontal="right" vertical="center" wrapText="1"/>
    </xf>
    <xf numFmtId="0" fontId="15" fillId="45" borderId="62" xfId="12" applyFont="1" applyFill="1" applyBorder="1" applyAlignment="1">
      <alignment horizontal="center" vertical="center" wrapText="1"/>
    </xf>
    <xf numFmtId="0" fontId="15" fillId="45" borderId="63" xfId="12" applyFont="1" applyFill="1" applyBorder="1" applyAlignment="1">
      <alignment horizontal="center" vertical="center" wrapText="1"/>
    </xf>
    <xf numFmtId="0" fontId="15" fillId="45" borderId="64" xfId="12" applyFont="1" applyFill="1" applyBorder="1" applyAlignment="1">
      <alignment horizontal="center" vertical="center" wrapText="1"/>
    </xf>
    <xf numFmtId="0" fontId="6" fillId="2" borderId="53" xfId="12" applyFont="1" applyFill="1" applyBorder="1" applyAlignment="1">
      <alignment horizontal="right" vertical="center"/>
    </xf>
    <xf numFmtId="0" fontId="6" fillId="2" borderId="54" xfId="12" applyFont="1" applyFill="1" applyBorder="1" applyAlignment="1">
      <alignment horizontal="right" vertical="center"/>
    </xf>
    <xf numFmtId="0" fontId="6" fillId="2" borderId="36" xfId="12" applyFont="1" applyFill="1" applyBorder="1" applyAlignment="1">
      <alignment horizontal="right" vertical="center"/>
    </xf>
    <xf numFmtId="0" fontId="15" fillId="45" borderId="43" xfId="12" applyFont="1" applyFill="1" applyBorder="1" applyAlignment="1">
      <alignment horizontal="center" vertical="center" wrapText="1"/>
    </xf>
    <xf numFmtId="0" fontId="15" fillId="45" borderId="44" xfId="12" applyFont="1" applyFill="1" applyBorder="1" applyAlignment="1">
      <alignment horizontal="center" vertical="center" wrapText="1"/>
    </xf>
    <xf numFmtId="0" fontId="6" fillId="2" borderId="56" xfId="12" applyFont="1" applyFill="1" applyBorder="1" applyAlignment="1">
      <alignment horizontal="right" vertical="center"/>
    </xf>
    <xf numFmtId="0" fontId="6" fillId="2" borderId="57" xfId="12" applyFont="1" applyFill="1" applyBorder="1" applyAlignment="1">
      <alignment horizontal="right" vertical="center"/>
    </xf>
    <xf numFmtId="0" fontId="6" fillId="2" borderId="92" xfId="12" applyFont="1" applyFill="1" applyBorder="1" applyAlignment="1">
      <alignment horizontal="right" vertical="center"/>
    </xf>
    <xf numFmtId="0" fontId="6" fillId="2" borderId="57" xfId="12" applyFont="1" applyFill="1" applyBorder="1" applyAlignment="1">
      <alignment horizontal="center" vertical="center"/>
    </xf>
    <xf numFmtId="0" fontId="6" fillId="2" borderId="94" xfId="12" applyFont="1" applyFill="1" applyBorder="1" applyAlignment="1">
      <alignment horizontal="center" vertical="center"/>
    </xf>
    <xf numFmtId="0" fontId="15" fillId="45" borderId="90" xfId="12" applyFont="1" applyFill="1" applyBorder="1" applyAlignment="1">
      <alignment horizontal="center" vertical="center" wrapText="1"/>
    </xf>
    <xf numFmtId="0" fontId="15" fillId="45" borderId="91" xfId="12" applyFont="1" applyFill="1" applyBorder="1" applyAlignment="1">
      <alignment horizontal="center" vertical="center" wrapText="1"/>
    </xf>
    <xf numFmtId="0" fontId="15" fillId="45" borderId="52" xfId="12" applyFont="1" applyFill="1" applyBorder="1" applyAlignment="1">
      <alignment horizontal="center" vertical="center" wrapText="1"/>
    </xf>
    <xf numFmtId="0" fontId="6" fillId="45" borderId="86" xfId="12" applyFont="1" applyFill="1" applyBorder="1" applyAlignment="1">
      <alignment horizontal="center" vertical="center" wrapText="1"/>
    </xf>
    <xf numFmtId="0" fontId="6" fillId="45" borderId="60" xfId="12" applyFont="1" applyFill="1" applyBorder="1" applyAlignment="1">
      <alignment horizontal="center" vertical="center" wrapText="1"/>
    </xf>
    <xf numFmtId="0" fontId="13" fillId="2" borderId="66" xfId="12" applyFont="1" applyFill="1" applyBorder="1" applyAlignment="1">
      <alignment horizontal="center" vertical="center" wrapText="1"/>
    </xf>
    <xf numFmtId="0" fontId="13" fillId="2" borderId="89" xfId="12" applyFont="1" applyFill="1" applyBorder="1" applyAlignment="1">
      <alignment horizontal="center" vertical="center" wrapText="1"/>
    </xf>
    <xf numFmtId="0" fontId="15" fillId="45" borderId="50" xfId="12" applyFont="1" applyFill="1" applyBorder="1" applyAlignment="1">
      <alignment horizontal="left" vertical="center" wrapText="1"/>
    </xf>
    <xf numFmtId="0" fontId="15" fillId="45" borderId="51" xfId="12" applyFont="1" applyFill="1" applyBorder="1" applyAlignment="1">
      <alignment horizontal="left" vertical="center" wrapText="1"/>
    </xf>
    <xf numFmtId="0" fontId="15" fillId="45" borderId="93" xfId="12" applyFont="1" applyFill="1" applyBorder="1" applyAlignment="1">
      <alignment horizontal="left" vertical="center" wrapText="1"/>
    </xf>
    <xf numFmtId="0" fontId="15" fillId="45" borderId="53" xfId="12" applyFont="1" applyFill="1" applyBorder="1" applyAlignment="1">
      <alignment horizontal="left" vertical="center" wrapText="1"/>
    </xf>
    <xf numFmtId="0" fontId="15" fillId="45" borderId="54" xfId="12" applyFont="1" applyFill="1" applyBorder="1" applyAlignment="1">
      <alignment horizontal="left" vertical="center" wrapText="1"/>
    </xf>
    <xf numFmtId="0" fontId="15" fillId="45" borderId="65" xfId="12" applyFont="1" applyFill="1" applyBorder="1" applyAlignment="1">
      <alignment horizontal="left" vertical="center" wrapText="1"/>
    </xf>
    <xf numFmtId="179" fontId="15" fillId="45" borderId="44" xfId="7" applyNumberFormat="1" applyFont="1" applyFill="1" applyBorder="1" applyAlignment="1">
      <alignment horizontal="center" vertical="center" wrapText="1"/>
    </xf>
    <xf numFmtId="0" fontId="13" fillId="2" borderId="30" xfId="12" applyFont="1" applyFill="1" applyBorder="1" applyAlignment="1">
      <alignment horizontal="center" vertical="center" wrapText="1"/>
    </xf>
    <xf numFmtId="0" fontId="13" fillId="2" borderId="88" xfId="12" applyFont="1" applyFill="1" applyBorder="1" applyAlignment="1">
      <alignment horizontal="center" vertical="center" wrapText="1"/>
    </xf>
    <xf numFmtId="0" fontId="6" fillId="0" borderId="0" xfId="12" applyFont="1" applyBorder="1" applyAlignment="1">
      <alignment horizontal="center" vertical="center" wrapText="1"/>
    </xf>
    <xf numFmtId="0" fontId="7" fillId="45" borderId="74" xfId="0" applyFont="1" applyFill="1" applyBorder="1" applyAlignment="1" applyProtection="1">
      <alignment horizontal="center" vertical="center" wrapText="1"/>
      <protection hidden="1"/>
    </xf>
    <xf numFmtId="0" fontId="7" fillId="45" borderId="89" xfId="0" applyFont="1" applyFill="1" applyBorder="1" applyAlignment="1" applyProtection="1">
      <alignment horizontal="center" vertical="center" wrapText="1"/>
      <protection hidden="1"/>
    </xf>
    <xf numFmtId="0" fontId="7" fillId="45" borderId="68" xfId="0" applyFont="1" applyFill="1" applyBorder="1" applyAlignment="1" applyProtection="1">
      <alignment horizontal="center" vertical="center" wrapText="1"/>
      <protection hidden="1"/>
    </xf>
    <xf numFmtId="0" fontId="7" fillId="45" borderId="78" xfId="0" applyFont="1" applyFill="1" applyBorder="1" applyAlignment="1" applyProtection="1">
      <alignment horizontal="center" vertical="center" wrapText="1"/>
      <protection hidden="1"/>
    </xf>
    <xf numFmtId="0" fontId="7" fillId="45" borderId="96" xfId="0" applyFont="1" applyFill="1" applyBorder="1" applyAlignment="1" applyProtection="1">
      <alignment horizontal="center" vertical="center" wrapText="1"/>
      <protection hidden="1"/>
    </xf>
    <xf numFmtId="0" fontId="7" fillId="45" borderId="97" xfId="0" applyFont="1" applyFill="1" applyBorder="1" applyAlignment="1" applyProtection="1">
      <alignment horizontal="center" vertical="center" wrapText="1"/>
      <protection hidden="1"/>
    </xf>
    <xf numFmtId="175" fontId="10" fillId="0" borderId="0" xfId="0" applyNumberFormat="1" applyFont="1" applyProtection="1">
      <protection hidden="1"/>
    </xf>
    <xf numFmtId="0" fontId="21" fillId="0" borderId="0" xfId="0" applyFont="1" applyAlignment="1" applyProtection="1">
      <alignment horizontal="center" vertical="center"/>
      <protection hidden="1"/>
    </xf>
    <xf numFmtId="0" fontId="10" fillId="0" borderId="0" xfId="0" applyFont="1" applyAlignment="1" applyProtection="1">
      <alignment horizontal="center" vertical="center" textRotation="90"/>
      <protection hidden="1"/>
    </xf>
    <xf numFmtId="0" fontId="15" fillId="45" borderId="14" xfId="0" applyFont="1" applyFill="1" applyBorder="1" applyAlignment="1" applyProtection="1">
      <alignment horizontal="center" vertical="center"/>
      <protection hidden="1"/>
    </xf>
    <xf numFmtId="0" fontId="15" fillId="45" borderId="98" xfId="0" applyFont="1" applyFill="1" applyBorder="1" applyAlignment="1" applyProtection="1">
      <alignment horizontal="center" vertical="center"/>
      <protection hidden="1"/>
    </xf>
    <xf numFmtId="0" fontId="15" fillId="45" borderId="73" xfId="0" applyFont="1" applyFill="1" applyBorder="1" applyAlignment="1" applyProtection="1">
      <alignment horizontal="center" vertical="center"/>
      <protection hidden="1"/>
    </xf>
    <xf numFmtId="0" fontId="15" fillId="45" borderId="6" xfId="0" applyFont="1" applyFill="1" applyBorder="1" applyAlignment="1" applyProtection="1">
      <alignment horizontal="center" vertical="center"/>
      <protection hidden="1"/>
    </xf>
    <xf numFmtId="173" fontId="59" fillId="45" borderId="70" xfId="0" applyNumberFormat="1" applyFont="1" applyFill="1" applyBorder="1" applyAlignment="1" applyProtection="1">
      <alignment horizontal="center" vertical="center"/>
      <protection hidden="1"/>
    </xf>
    <xf numFmtId="173" fontId="59" fillId="45" borderId="60" xfId="0" applyNumberFormat="1" applyFont="1" applyFill="1" applyBorder="1" applyAlignment="1" applyProtection="1">
      <alignment horizontal="center" vertical="center"/>
      <protection hidden="1"/>
    </xf>
    <xf numFmtId="173" fontId="59" fillId="45" borderId="105" xfId="0" applyNumberFormat="1" applyFont="1" applyFill="1" applyBorder="1" applyAlignment="1" applyProtection="1">
      <alignment horizontal="center" vertical="center"/>
      <protection hidden="1"/>
    </xf>
    <xf numFmtId="173" fontId="59" fillId="45" borderId="7" xfId="0" applyNumberFormat="1" applyFont="1" applyFill="1" applyBorder="1" applyAlignment="1" applyProtection="1">
      <alignment horizontal="center" vertical="center"/>
      <protection hidden="1"/>
    </xf>
    <xf numFmtId="0" fontId="7" fillId="45" borderId="74" xfId="0" applyFont="1" applyFill="1" applyBorder="1" applyAlignment="1" applyProtection="1">
      <alignment horizontal="center" vertical="center" wrapText="1"/>
      <protection locked="0"/>
    </xf>
    <xf numFmtId="0" fontId="7" fillId="45" borderId="77" xfId="0" applyFont="1" applyFill="1" applyBorder="1" applyAlignment="1" applyProtection="1">
      <alignment horizontal="center" vertical="center" wrapText="1"/>
      <protection hidden="1"/>
    </xf>
    <xf numFmtId="0" fontId="7" fillId="45" borderId="95" xfId="0" applyFont="1" applyFill="1" applyBorder="1" applyAlignment="1" applyProtection="1">
      <alignment horizontal="center" vertical="center" wrapText="1"/>
      <protection hidden="1"/>
    </xf>
    <xf numFmtId="0" fontId="7" fillId="45" borderId="74" xfId="12" applyFont="1" applyFill="1" applyBorder="1" applyAlignment="1">
      <alignment horizontal="center" vertical="center" wrapText="1"/>
    </xf>
    <xf numFmtId="0" fontId="7" fillId="45" borderId="89" xfId="12" applyFont="1" applyFill="1" applyBorder="1" applyAlignment="1">
      <alignment horizontal="center" vertical="center" wrapText="1"/>
    </xf>
  </cellXfs>
  <cellStyles count="229">
    <cellStyle name="20% - Accent1" xfId="21"/>
    <cellStyle name="20% - Accent2" xfId="22"/>
    <cellStyle name="20% - Accent3" xfId="23"/>
    <cellStyle name="20% - Accent4" xfId="24"/>
    <cellStyle name="20% - Accent5" xfId="25"/>
    <cellStyle name="20% - Accent6" xfId="26"/>
    <cellStyle name="2-decimales" xfId="27"/>
    <cellStyle name="40% - Accent1" xfId="28"/>
    <cellStyle name="40% - Accent2" xfId="29"/>
    <cellStyle name="40% - Accent3" xfId="30"/>
    <cellStyle name="40% - Accent4" xfId="31"/>
    <cellStyle name="40% - Accent5" xfId="32"/>
    <cellStyle name="40% - Accent6" xfId="33"/>
    <cellStyle name="60% - Accent1" xfId="34"/>
    <cellStyle name="60% - Accent2" xfId="35"/>
    <cellStyle name="60% - Accent3" xfId="36"/>
    <cellStyle name="60% - Accent4" xfId="37"/>
    <cellStyle name="60% - Accent5" xfId="38"/>
    <cellStyle name="60% - Accent6" xfId="39"/>
    <cellStyle name="Accent1" xfId="40"/>
    <cellStyle name="Accent2" xfId="41"/>
    <cellStyle name="Accent3" xfId="42"/>
    <cellStyle name="Accent4" xfId="43"/>
    <cellStyle name="Accent5" xfId="44"/>
    <cellStyle name="Accent6" xfId="45"/>
    <cellStyle name="Bad" xfId="46"/>
    <cellStyle name="Calculation" xfId="47"/>
    <cellStyle name="Check Cell" xfId="48"/>
    <cellStyle name="CIENTOS" xfId="49"/>
    <cellStyle name="CIENTOS 2D" xfId="50"/>
    <cellStyle name="CIENTOS 3D" xfId="51"/>
    <cellStyle name="CIENTOS 4D" xfId="52"/>
    <cellStyle name="CIENTOS_ANALISIS UNITARIO CONCRETO DE 3000 PSI Y VARIOS (ACERO GRADO 60)" xfId="53"/>
    <cellStyle name="Comma" xfId="54"/>
    <cellStyle name="Comma0" xfId="55"/>
    <cellStyle name="Comma0 - Modelo5" xfId="56"/>
    <cellStyle name="Comma1 - Modelo1" xfId="57"/>
    <cellStyle name="Curren - Modelo2" xfId="58"/>
    <cellStyle name="Currency" xfId="59"/>
    <cellStyle name="Currency0" xfId="60"/>
    <cellStyle name="Date" xfId="61"/>
    <cellStyle name="Énfasis 1" xfId="62"/>
    <cellStyle name="Énfasis 2" xfId="63"/>
    <cellStyle name="Énfasis 3" xfId="64"/>
    <cellStyle name="Énfasis1 - 20%" xfId="65"/>
    <cellStyle name="Énfasis1 - 40%" xfId="66"/>
    <cellStyle name="Énfasis1 - 60%" xfId="67"/>
    <cellStyle name="Énfasis2 - 20%" xfId="68"/>
    <cellStyle name="Énfasis2 - 40%" xfId="69"/>
    <cellStyle name="Énfasis2 - 60%" xfId="70"/>
    <cellStyle name="Énfasis3 - 20%" xfId="71"/>
    <cellStyle name="Énfasis3 - 40%" xfId="72"/>
    <cellStyle name="Énfasis3 - 60%" xfId="73"/>
    <cellStyle name="Énfasis4 - 20%" xfId="74"/>
    <cellStyle name="Énfasis4 - 40%" xfId="75"/>
    <cellStyle name="Énfasis4 - 60%" xfId="76"/>
    <cellStyle name="Énfasis5 - 20%" xfId="77"/>
    <cellStyle name="Énfasis5 - 40%" xfId="78"/>
    <cellStyle name="Énfasis5 - 60%" xfId="79"/>
    <cellStyle name="Énfasis6 - 20%" xfId="80"/>
    <cellStyle name="Énfasis6 - 40%" xfId="81"/>
    <cellStyle name="Énfasis6 - 60%" xfId="82"/>
    <cellStyle name="ENTERO" xfId="83"/>
    <cellStyle name="Estilo 1" xfId="1"/>
    <cellStyle name="Euro" xfId="2"/>
    <cellStyle name="Euro 2" xfId="84"/>
    <cellStyle name="Euro 3" xfId="212"/>
    <cellStyle name="Explanatory Text" xfId="85"/>
    <cellStyle name="F2" xfId="86"/>
    <cellStyle name="F3" xfId="87"/>
    <cellStyle name="F4" xfId="88"/>
    <cellStyle name="F5" xfId="89"/>
    <cellStyle name="F6" xfId="90"/>
    <cellStyle name="F7" xfId="91"/>
    <cellStyle name="F8" xfId="92"/>
    <cellStyle name="Fixed" xfId="93"/>
    <cellStyle name="Good" xfId="94"/>
    <cellStyle name="GRADOSMINSEG" xfId="95"/>
    <cellStyle name="Heading 1" xfId="96"/>
    <cellStyle name="Heading 2" xfId="97"/>
    <cellStyle name="Heading 3" xfId="98"/>
    <cellStyle name="Heading 4" xfId="99"/>
    <cellStyle name="Heading1" xfId="100"/>
    <cellStyle name="Heading2" xfId="101"/>
    <cellStyle name="Hipervínculo 2" xfId="102"/>
    <cellStyle name="Input" xfId="103"/>
    <cellStyle name="Linked Cell" xfId="104"/>
    <cellStyle name="MILE DE MILLONES" xfId="105"/>
    <cellStyle name="MILES" xfId="106"/>
    <cellStyle name="Millares" xfId="3" builtinId="3"/>
    <cellStyle name="Millares [0] 2" xfId="107"/>
    <cellStyle name="Millares [0] 2 2" xfId="214"/>
    <cellStyle name="Millares [0] 3" xfId="108"/>
    <cellStyle name="Millares [0] 3 2" xfId="109"/>
    <cellStyle name="Millares [0] 4" xfId="110"/>
    <cellStyle name="Millares [0] 4 2" xfId="111"/>
    <cellStyle name="Millares [0] 5" xfId="112"/>
    <cellStyle name="Millares [0] 5 2" xfId="113"/>
    <cellStyle name="Millares 10" xfId="114"/>
    <cellStyle name="Millares 10 2" xfId="115"/>
    <cellStyle name="Millares 10 3" xfId="116"/>
    <cellStyle name="Millares 10 4" xfId="117"/>
    <cellStyle name="Millares 10 5" xfId="118"/>
    <cellStyle name="Millares 10 6" xfId="119"/>
    <cellStyle name="Millares 11" xfId="120"/>
    <cellStyle name="Millares 12" xfId="121"/>
    <cellStyle name="Millares 13" xfId="122"/>
    <cellStyle name="Millares 14" xfId="123"/>
    <cellStyle name="Millares 15" xfId="124"/>
    <cellStyle name="Millares 16" xfId="125"/>
    <cellStyle name="Millares 17" xfId="126"/>
    <cellStyle name="Millares 18" xfId="127"/>
    <cellStyle name="Millares 19" xfId="128"/>
    <cellStyle name="Millares 2" xfId="4"/>
    <cellStyle name="Millares 2 2" xfId="129"/>
    <cellStyle name="Millares 2 2 2" xfId="217"/>
    <cellStyle name="Millares 2 3" xfId="130"/>
    <cellStyle name="Millares 2 4" xfId="19"/>
    <cellStyle name="Millares 2 5" xfId="216"/>
    <cellStyle name="Millares 20" xfId="131"/>
    <cellStyle name="Millares 21" xfId="132"/>
    <cellStyle name="Millares 22" xfId="133"/>
    <cellStyle name="Millares 23" xfId="134"/>
    <cellStyle name="Millares 24" xfId="135"/>
    <cellStyle name="Millares 25" xfId="136"/>
    <cellStyle name="Millares 26" xfId="137"/>
    <cellStyle name="Millares 27" xfId="138"/>
    <cellStyle name="Millares 28" xfId="139"/>
    <cellStyle name="Millares 29" xfId="140"/>
    <cellStyle name="Millares 3" xfId="5"/>
    <cellStyle name="Millares 3 2" xfId="142"/>
    <cellStyle name="Millares 3 3" xfId="143"/>
    <cellStyle name="Millares 3 4" xfId="141"/>
    <cellStyle name="Millares 3_6._Presupuesto General Señalización" xfId="144"/>
    <cellStyle name="Millares 30" xfId="145"/>
    <cellStyle name="Millares 31" xfId="146"/>
    <cellStyle name="Millares 32" xfId="147"/>
    <cellStyle name="Millares 33" xfId="148"/>
    <cellStyle name="Millares 34" xfId="149"/>
    <cellStyle name="Millares 35" xfId="150"/>
    <cellStyle name="Millares 36" xfId="16"/>
    <cellStyle name="Millares 37" xfId="184"/>
    <cellStyle name="Millares 38" xfId="223"/>
    <cellStyle name="Millares 39" xfId="213"/>
    <cellStyle name="Millares 4" xfId="151"/>
    <cellStyle name="Millares 4 2" xfId="152"/>
    <cellStyle name="Millares 40" xfId="215"/>
    <cellStyle name="Millares 5" xfId="153"/>
    <cellStyle name="Millares 5 2" xfId="154"/>
    <cellStyle name="Millares 6" xfId="155"/>
    <cellStyle name="Millares 6 2" xfId="156"/>
    <cellStyle name="Millares 7" xfId="157"/>
    <cellStyle name="Millares 7 2" xfId="218"/>
    <cellStyle name="Millares 8" xfId="158"/>
    <cellStyle name="Millares 8 2" xfId="159"/>
    <cellStyle name="Millares 8 3" xfId="160"/>
    <cellStyle name="Millares 8 4" xfId="161"/>
    <cellStyle name="Millares 8 5" xfId="162"/>
    <cellStyle name="Millares 8 6" xfId="163"/>
    <cellStyle name="Millares 8 7" xfId="164"/>
    <cellStyle name="Millares 9" xfId="165"/>
    <cellStyle name="Millares_PtosLicitacionesSRTaño03" xfId="6"/>
    <cellStyle name="MILLONES" xfId="166"/>
    <cellStyle name="Moneda" xfId="7" builtinId="4"/>
    <cellStyle name="Moneda [00]" xfId="167"/>
    <cellStyle name="Moneda [2]" xfId="168"/>
    <cellStyle name="Moneda 12" xfId="169"/>
    <cellStyle name="Moneda 2" xfId="8"/>
    <cellStyle name="Moneda 2 2" xfId="170"/>
    <cellStyle name="Moneda 2 3" xfId="225"/>
    <cellStyle name="Moneda 3" xfId="171"/>
    <cellStyle name="Moneda 3 2" xfId="172"/>
    <cellStyle name="Moneda 3 3" xfId="220"/>
    <cellStyle name="Moneda 4" xfId="173"/>
    <cellStyle name="Moneda 5" xfId="17"/>
    <cellStyle name="Moneda 6" xfId="182"/>
    <cellStyle name="Moneda 7" xfId="222"/>
    <cellStyle name="Moneda 8" xfId="219"/>
    <cellStyle name="Moneda 9" xfId="211"/>
    <cellStyle name="Moneda_PtosLicitacionesSRTaño03" xfId="9"/>
    <cellStyle name="No. punto" xfId="174"/>
    <cellStyle name="Normal" xfId="0" builtinId="0"/>
    <cellStyle name="Normal 10" xfId="227"/>
    <cellStyle name="Normal 2" xfId="10"/>
    <cellStyle name="Normal 2 10" xfId="175"/>
    <cellStyle name="Normal 2 10 2" xfId="176"/>
    <cellStyle name="Normal 2 10 3" xfId="177"/>
    <cellStyle name="Normal 2 2" xfId="11"/>
    <cellStyle name="Normal 2 2 2" xfId="178"/>
    <cellStyle name="Normal 2 3" xfId="179"/>
    <cellStyle name="Normal 2 4" xfId="180"/>
    <cellStyle name="Normal 2_INFORME CTO. 52-2009 CONSORCIO H.L." xfId="181"/>
    <cellStyle name="Normal 3" xfId="12"/>
    <cellStyle name="Normal 3 2" xfId="183"/>
    <cellStyle name="Normal 4" xfId="13"/>
    <cellStyle name="Normal 4 2" xfId="221"/>
    <cellStyle name="Normal 5" xfId="185"/>
    <cellStyle name="Normal 5 2" xfId="186"/>
    <cellStyle name="Normal 5 3" xfId="187"/>
    <cellStyle name="Normal 6" xfId="15"/>
    <cellStyle name="Normal 7" xfId="20"/>
    <cellStyle name="Normal 8" xfId="224"/>
    <cellStyle name="Normal 9" xfId="226"/>
    <cellStyle name="Note" xfId="188"/>
    <cellStyle name="Output" xfId="189"/>
    <cellStyle name="Percen - Modelo3" xfId="190"/>
    <cellStyle name="Percent" xfId="191"/>
    <cellStyle name="Porcentaje" xfId="228" builtinId="5"/>
    <cellStyle name="Porcentaje 2" xfId="192"/>
    <cellStyle name="Porcentaje 3" xfId="18"/>
    <cellStyle name="Porcentual 2" xfId="14"/>
    <cellStyle name="Porcentual 2 2" xfId="193"/>
    <cellStyle name="Porcentual 2 2 2" xfId="194"/>
    <cellStyle name="Porcentual 2 3" xfId="195"/>
    <cellStyle name="Porcentual 2 4" xfId="196"/>
    <cellStyle name="Porcentual 2 5" xfId="197"/>
    <cellStyle name="Porcentual 2 6" xfId="198"/>
    <cellStyle name="Porcentual 3" xfId="199"/>
    <cellStyle name="Porcentual 3 2" xfId="200"/>
    <cellStyle name="Porcentual 4" xfId="201"/>
    <cellStyle name="Porcentual 4 2" xfId="202"/>
    <cellStyle name="Porcentual 5" xfId="203"/>
    <cellStyle name="Porcentual 5 2" xfId="204"/>
    <cellStyle name="Porcentual 6" xfId="205"/>
    <cellStyle name="Porcentual 7" xfId="206"/>
    <cellStyle name="Title" xfId="207"/>
    <cellStyle name="TITULO" xfId="208"/>
    <cellStyle name="Título de hoja" xfId="209"/>
    <cellStyle name="Warning Text" xfId="210"/>
  </cellStyles>
  <dxfs count="184">
    <dxf>
      <font>
        <b/>
        <i val="0"/>
      </font>
      <fill>
        <patternFill>
          <bgColor rgb="FFFFCCFF"/>
        </patternFill>
      </fill>
    </dxf>
    <dxf>
      <font>
        <b/>
        <i val="0"/>
      </font>
      <fill>
        <patternFill>
          <bgColor theme="0" tint="-0.14996795556505021"/>
        </patternFill>
      </fill>
    </dxf>
    <dxf>
      <font>
        <b/>
        <i val="0"/>
      </font>
      <fill>
        <patternFill>
          <bgColor rgb="FFFFCCFF"/>
        </patternFill>
      </fill>
    </dxf>
    <dxf>
      <font>
        <b/>
        <i val="0"/>
      </font>
      <fill>
        <patternFill>
          <bgColor theme="0" tint="-0.14996795556505021"/>
        </patternFill>
      </fill>
    </dxf>
    <dxf>
      <font>
        <b/>
        <i val="0"/>
        <color auto="1"/>
        <name val="Cambria"/>
        <scheme val="none"/>
      </font>
      <fill>
        <patternFill>
          <bgColor rgb="FFFFCCFF"/>
        </patternFill>
      </fill>
    </dxf>
    <dxf>
      <font>
        <b/>
        <i val="0"/>
        <color auto="1"/>
        <name val="Cambria"/>
        <scheme val="none"/>
      </font>
      <fill>
        <patternFill>
          <bgColor rgb="FF66FFFF"/>
        </patternFill>
      </fill>
    </dxf>
    <dxf>
      <font>
        <b/>
        <i val="0"/>
      </font>
      <fill>
        <patternFill>
          <bgColor rgb="FFFFCCCC"/>
        </patternFill>
      </fill>
    </dxf>
    <dxf>
      <font>
        <b/>
        <i val="0"/>
      </font>
      <fill>
        <patternFill>
          <bgColor rgb="FFFF99CC"/>
        </patternFill>
      </fill>
    </dxf>
    <dxf>
      <font>
        <b/>
        <i val="0"/>
      </font>
      <fill>
        <patternFill>
          <bgColor theme="0" tint="-0.14996795556505021"/>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4"/>
        </patternFill>
      </fill>
    </dxf>
    <dxf>
      <fill>
        <patternFill>
          <bgColor indexed="47"/>
        </patternFill>
      </fill>
    </dxf>
    <dxf>
      <font>
        <b/>
        <i val="0"/>
        <condense val="0"/>
        <extend val="0"/>
        <color indexed="10"/>
      </font>
      <fill>
        <patternFill>
          <bgColor indexed="45"/>
        </patternFill>
      </fill>
    </dxf>
    <dxf>
      <font>
        <b/>
        <i val="0"/>
        <color theme="3" tint="-0.24994659260841701"/>
      </font>
      <fill>
        <patternFill>
          <bgColor indexed="42"/>
        </patternFill>
      </fill>
    </dxf>
    <dxf>
      <font>
        <b/>
        <i val="0"/>
        <condense val="0"/>
        <extend val="0"/>
        <color indexed="10"/>
      </font>
      <fill>
        <patternFill>
          <bgColor indexed="43"/>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theme="3" tint="-0.24994659260841701"/>
      </font>
      <fill>
        <patternFill>
          <bgColor indexed="42"/>
        </patternFill>
      </fill>
    </dxf>
    <dxf>
      <font>
        <b/>
        <i val="0"/>
        <condense val="0"/>
        <extend val="0"/>
        <color indexed="10"/>
      </font>
      <fill>
        <patternFill>
          <bgColor indexed="43"/>
        </patternFill>
      </fill>
    </dxf>
    <dxf>
      <fill>
        <patternFill>
          <bgColor indexed="49"/>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ill>
        <patternFill>
          <bgColor indexed="35"/>
        </patternFill>
      </fill>
    </dxf>
    <dxf>
      <fill>
        <patternFill>
          <bgColor indexed="45"/>
        </patternFill>
      </fill>
    </dxf>
    <dxf>
      <fill>
        <patternFill>
          <bgColor indexed="47"/>
        </patternFill>
      </fill>
    </dxf>
    <dxf>
      <font>
        <b/>
        <i val="0"/>
        <color rgb="FFFF0000"/>
      </font>
    </dxf>
    <dxf>
      <font>
        <b/>
        <i val="0"/>
        <color rgb="FFFF0000"/>
      </font>
    </dxf>
    <dxf>
      <font>
        <b/>
        <i val="0"/>
      </font>
      <fill>
        <patternFill>
          <bgColor rgb="FF99CCFF"/>
        </patternFill>
      </fill>
    </dxf>
    <dxf>
      <font>
        <b/>
        <i val="0"/>
      </font>
      <fill>
        <patternFill>
          <bgColor rgb="FFFFCCCC"/>
        </patternFill>
      </fill>
    </dxf>
    <dxf>
      <font>
        <b/>
        <i val="0"/>
      </font>
      <fill>
        <patternFill>
          <bgColor rgb="FFFF99CC"/>
        </patternFill>
      </fill>
    </dxf>
    <dxf>
      <font>
        <b/>
        <i val="0"/>
        <condense val="0"/>
        <extend val="0"/>
        <color indexed="10"/>
      </font>
      <fill>
        <patternFill>
          <bgColor indexed="45"/>
        </patternFill>
      </fill>
    </dxf>
    <dxf>
      <font>
        <b/>
        <i val="0"/>
        <color auto="1"/>
      </font>
      <fill>
        <patternFill>
          <bgColor theme="0" tint="-0.14996795556505021"/>
        </patternFill>
      </fill>
    </dxf>
  </dxfs>
  <tableStyles count="0" defaultTableStyle="TableStyleMedium9" defaultPivotStyle="PivotStyleLight16"/>
  <colors>
    <mruColors>
      <color rgb="FFB8CCE4"/>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inyurl.com/y9xc8la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545024</xdr:colOff>
      <xdr:row>12</xdr:row>
      <xdr:rowOff>22860</xdr:rowOff>
    </xdr:from>
    <xdr:to>
      <xdr:col>5</xdr:col>
      <xdr:colOff>748436</xdr:colOff>
      <xdr:row>13</xdr:row>
      <xdr:rowOff>12277</xdr:rowOff>
    </xdr:to>
    <xdr:pic>
      <xdr:nvPicPr>
        <xdr:cNvPr id="423999" name="1 Imagen" descr="Exportable a varios formatos - TRM diaria">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64774" y="2573443"/>
          <a:ext cx="203412"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L39"/>
  <sheetViews>
    <sheetView showGridLines="0" topLeftCell="B16" zoomScale="110" zoomScaleNormal="110" workbookViewId="0">
      <selection activeCell="E40" sqref="E40"/>
    </sheetView>
  </sheetViews>
  <sheetFormatPr baseColWidth="10" defaultColWidth="11.42578125" defaultRowHeight="12.75" x14ac:dyDescent="0.2"/>
  <cols>
    <col min="1" max="1" width="3" style="2" customWidth="1"/>
    <col min="2" max="2" width="15.140625" style="2" customWidth="1"/>
    <col min="3" max="3" width="15.5703125" style="2" customWidth="1"/>
    <col min="4" max="4" width="58.140625" style="2" customWidth="1"/>
    <col min="5" max="5" width="15.7109375" style="2" customWidth="1"/>
    <col min="6" max="6" width="13.5703125" style="17" hidden="1" customWidth="1"/>
    <col min="7" max="7" width="26.5703125" style="17" customWidth="1"/>
    <col min="8" max="8" width="18.85546875" style="17" hidden="1" customWidth="1"/>
    <col min="9" max="9" width="2.140625" style="17" hidden="1" customWidth="1"/>
    <col min="10" max="16384" width="11.42578125" style="2"/>
  </cols>
  <sheetData>
    <row r="1" spans="1:12" s="33" customFormat="1" ht="20.100000000000001" customHeight="1" x14ac:dyDescent="0.25">
      <c r="B1" s="338" t="s">
        <v>91</v>
      </c>
      <c r="C1" s="338"/>
      <c r="D1" s="338"/>
      <c r="E1" s="338"/>
      <c r="F1" s="338"/>
      <c r="G1" s="338"/>
      <c r="H1" s="338"/>
      <c r="I1" s="338"/>
    </row>
    <row r="2" spans="1:12" s="33" customFormat="1" ht="20.100000000000001" customHeight="1" x14ac:dyDescent="0.25">
      <c r="B2" s="323"/>
      <c r="C2" s="323"/>
      <c r="D2" s="323"/>
      <c r="E2" s="323"/>
      <c r="F2" s="323"/>
      <c r="G2" s="323"/>
      <c r="H2" s="323"/>
      <c r="I2" s="323"/>
    </row>
    <row r="3" spans="1:12" s="33" customFormat="1" ht="20.100000000000001" customHeight="1" x14ac:dyDescent="0.25">
      <c r="B3" s="323" t="s">
        <v>92</v>
      </c>
      <c r="C3" s="323"/>
      <c r="D3" s="323"/>
      <c r="E3" s="323"/>
      <c r="F3" s="323"/>
      <c r="G3" s="323"/>
      <c r="H3" s="323"/>
      <c r="I3" s="323"/>
    </row>
    <row r="4" spans="1:12" s="33" customFormat="1" ht="18" x14ac:dyDescent="0.25">
      <c r="B4" s="323"/>
      <c r="C4" s="323"/>
      <c r="D4" s="323"/>
      <c r="E4" s="323"/>
      <c r="F4" s="323"/>
      <c r="G4" s="323"/>
      <c r="H4" s="323"/>
      <c r="I4" s="323"/>
    </row>
    <row r="5" spans="1:12" s="33" customFormat="1" ht="25.5" customHeight="1" x14ac:dyDescent="0.25">
      <c r="A5" s="38"/>
      <c r="B5" s="323" t="s">
        <v>98</v>
      </c>
      <c r="C5" s="323"/>
      <c r="D5" s="323"/>
      <c r="E5" s="323"/>
      <c r="F5" s="323"/>
      <c r="G5" s="323"/>
      <c r="H5" s="323"/>
      <c r="I5" s="323"/>
    </row>
    <row r="6" spans="1:12" s="33" customFormat="1" ht="18.75" x14ac:dyDescent="0.25">
      <c r="A6" s="38"/>
      <c r="B6" s="239"/>
      <c r="C6" s="239"/>
      <c r="D6" s="240"/>
      <c r="E6" s="240"/>
      <c r="F6" s="240"/>
      <c r="G6" s="240"/>
      <c r="H6" s="240"/>
      <c r="I6" s="240"/>
    </row>
    <row r="7" spans="1:12" s="33" customFormat="1" ht="46.5" customHeight="1" x14ac:dyDescent="0.25">
      <c r="A7" s="38"/>
      <c r="B7" s="323" t="s">
        <v>106</v>
      </c>
      <c r="C7" s="323"/>
      <c r="D7" s="323"/>
      <c r="E7" s="323"/>
      <c r="F7" s="323"/>
      <c r="G7" s="323"/>
      <c r="H7" s="323"/>
      <c r="I7" s="323"/>
    </row>
    <row r="8" spans="1:12" s="33" customFormat="1" ht="18.75" x14ac:dyDescent="0.25">
      <c r="A8" s="38"/>
      <c r="B8" s="49"/>
      <c r="C8" s="49"/>
      <c r="D8" s="48"/>
      <c r="E8" s="48"/>
      <c r="F8" s="48"/>
      <c r="G8" s="48"/>
      <c r="H8" s="48"/>
      <c r="I8" s="48"/>
    </row>
    <row r="9" spans="1:12" s="33" customFormat="1" ht="18.75" x14ac:dyDescent="0.25">
      <c r="A9" s="38"/>
      <c r="B9" s="49"/>
      <c r="C9" s="49"/>
      <c r="D9" s="48"/>
      <c r="E9" s="48"/>
      <c r="F9" s="48"/>
      <c r="G9" s="48"/>
      <c r="H9" s="48"/>
      <c r="I9" s="48"/>
    </row>
    <row r="10" spans="1:12" ht="13.5" customHeight="1" x14ac:dyDescent="0.2">
      <c r="B10" s="334" t="s">
        <v>20</v>
      </c>
      <c r="C10" s="334"/>
      <c r="D10" s="334"/>
      <c r="E10" s="334"/>
      <c r="F10" s="334"/>
      <c r="G10" s="334"/>
      <c r="H10" s="334"/>
      <c r="I10" s="334"/>
      <c r="L10" s="40"/>
    </row>
    <row r="11" spans="1:12" ht="13.5" customHeight="1" thickBot="1" x14ac:dyDescent="0.25">
      <c r="B11" s="335" t="s">
        <v>14</v>
      </c>
      <c r="C11" s="335"/>
      <c r="D11" s="335"/>
      <c r="E11" s="335"/>
      <c r="F11" s="335"/>
      <c r="G11" s="335"/>
      <c r="H11" s="335"/>
      <c r="I11" s="335"/>
    </row>
    <row r="12" spans="1:12" ht="45" customHeight="1" thickTop="1" x14ac:dyDescent="0.2">
      <c r="B12" s="328" t="s">
        <v>35</v>
      </c>
      <c r="C12" s="330" t="s">
        <v>77</v>
      </c>
      <c r="D12" s="326" t="s">
        <v>78</v>
      </c>
      <c r="E12" s="330" t="s">
        <v>15</v>
      </c>
      <c r="F12" s="336" t="s">
        <v>16</v>
      </c>
      <c r="G12" s="337"/>
      <c r="H12" s="243"/>
      <c r="I12" s="332"/>
    </row>
    <row r="13" spans="1:12" ht="59.25" customHeight="1" thickBot="1" x14ac:dyDescent="0.25">
      <c r="B13" s="329"/>
      <c r="C13" s="331"/>
      <c r="D13" s="327"/>
      <c r="E13" s="331"/>
      <c r="F13" s="242"/>
      <c r="G13" s="245" t="s">
        <v>72</v>
      </c>
      <c r="H13" s="244"/>
      <c r="I13" s="333"/>
    </row>
    <row r="14" spans="1:12" ht="4.1500000000000004" customHeight="1" x14ac:dyDescent="0.2">
      <c r="B14" s="51"/>
      <c r="C14" s="77"/>
      <c r="D14" s="52"/>
      <c r="E14" s="52"/>
      <c r="F14" s="234"/>
      <c r="G14" s="246"/>
      <c r="H14" s="234"/>
      <c r="I14" s="60"/>
      <c r="J14" s="188"/>
    </row>
    <row r="15" spans="1:12" s="11" customFormat="1" x14ac:dyDescent="0.2">
      <c r="B15" s="151">
        <v>1</v>
      </c>
      <c r="C15" s="152">
        <v>2</v>
      </c>
      <c r="D15" s="236" t="s">
        <v>187</v>
      </c>
      <c r="E15" s="307" t="s">
        <v>8</v>
      </c>
      <c r="F15" s="308">
        <v>100</v>
      </c>
      <c r="G15" s="308">
        <v>100</v>
      </c>
      <c r="H15" s="309"/>
      <c r="I15" s="308"/>
      <c r="J15" s="310"/>
    </row>
    <row r="16" spans="1:12" s="11" customFormat="1" x14ac:dyDescent="0.2">
      <c r="B16" s="151">
        <v>2</v>
      </c>
      <c r="C16" s="152">
        <v>6</v>
      </c>
      <c r="D16" s="236" t="s">
        <v>188</v>
      </c>
      <c r="E16" s="307" t="s">
        <v>8</v>
      </c>
      <c r="F16" s="308">
        <v>100</v>
      </c>
      <c r="G16" s="308">
        <v>100</v>
      </c>
      <c r="H16" s="309"/>
      <c r="I16" s="308"/>
      <c r="J16" s="310"/>
    </row>
    <row r="17" spans="2:10" s="11" customFormat="1" x14ac:dyDescent="0.2">
      <c r="B17" s="151">
        <v>3</v>
      </c>
      <c r="C17" s="152">
        <v>8</v>
      </c>
      <c r="D17" s="236" t="s">
        <v>189</v>
      </c>
      <c r="E17" s="307" t="s">
        <v>11</v>
      </c>
      <c r="F17" s="308">
        <v>100</v>
      </c>
      <c r="G17" s="308">
        <v>100</v>
      </c>
      <c r="H17" s="309"/>
      <c r="I17" s="308"/>
      <c r="J17" s="310"/>
    </row>
    <row r="18" spans="2:10" s="11" customFormat="1" x14ac:dyDescent="0.2">
      <c r="B18" s="151">
        <v>4</v>
      </c>
      <c r="C18" s="152">
        <v>9</v>
      </c>
      <c r="D18" s="236" t="s">
        <v>190</v>
      </c>
      <c r="E18" s="307" t="s">
        <v>8</v>
      </c>
      <c r="F18" s="308">
        <v>100</v>
      </c>
      <c r="G18" s="308">
        <v>100</v>
      </c>
      <c r="H18" s="309"/>
      <c r="I18" s="308"/>
      <c r="J18" s="310"/>
    </row>
    <row r="19" spans="2:10" s="11" customFormat="1" x14ac:dyDescent="0.2">
      <c r="B19" s="151">
        <v>5</v>
      </c>
      <c r="C19" s="152">
        <v>10</v>
      </c>
      <c r="D19" s="236" t="s">
        <v>191</v>
      </c>
      <c r="E19" s="307" t="s">
        <v>11</v>
      </c>
      <c r="F19" s="308">
        <v>100</v>
      </c>
      <c r="G19" s="308">
        <v>100</v>
      </c>
      <c r="H19" s="309"/>
      <c r="I19" s="308"/>
      <c r="J19" s="310"/>
    </row>
    <row r="20" spans="2:10" s="11" customFormat="1" x14ac:dyDescent="0.2">
      <c r="B20" s="151">
        <v>6</v>
      </c>
      <c r="C20" s="152">
        <v>11</v>
      </c>
      <c r="D20" s="236" t="s">
        <v>192</v>
      </c>
      <c r="E20" s="307" t="s">
        <v>8</v>
      </c>
      <c r="F20" s="308">
        <v>100</v>
      </c>
      <c r="G20" s="308">
        <v>100</v>
      </c>
      <c r="H20" s="309"/>
      <c r="I20" s="308"/>
      <c r="J20" s="310"/>
    </row>
    <row r="21" spans="2:10" s="11" customFormat="1" x14ac:dyDescent="0.2">
      <c r="B21" s="151">
        <v>7</v>
      </c>
      <c r="C21" s="152">
        <v>14</v>
      </c>
      <c r="D21" s="236" t="s">
        <v>193</v>
      </c>
      <c r="E21" s="307" t="s">
        <v>8</v>
      </c>
      <c r="F21" s="308">
        <v>100</v>
      </c>
      <c r="G21" s="308">
        <v>100</v>
      </c>
      <c r="H21" s="309"/>
      <c r="I21" s="308"/>
      <c r="J21" s="310"/>
    </row>
    <row r="22" spans="2:10" s="11" customFormat="1" x14ac:dyDescent="0.2">
      <c r="B22" s="151">
        <v>8</v>
      </c>
      <c r="C22" s="152">
        <v>15</v>
      </c>
      <c r="D22" s="236" t="s">
        <v>194</v>
      </c>
      <c r="E22" s="307" t="s">
        <v>11</v>
      </c>
      <c r="F22" s="308">
        <v>100</v>
      </c>
      <c r="G22" s="308">
        <v>100</v>
      </c>
      <c r="H22" s="309"/>
      <c r="I22" s="308"/>
      <c r="J22" s="310"/>
    </row>
    <row r="23" spans="2:10" s="11" customFormat="1" x14ac:dyDescent="0.2">
      <c r="B23" s="151">
        <v>9</v>
      </c>
      <c r="C23" s="152">
        <v>16</v>
      </c>
      <c r="D23" s="236" t="s">
        <v>195</v>
      </c>
      <c r="E23" s="307" t="s">
        <v>8</v>
      </c>
      <c r="F23" s="308">
        <v>100</v>
      </c>
      <c r="G23" s="308">
        <v>100</v>
      </c>
      <c r="H23" s="309"/>
      <c r="I23" s="308"/>
      <c r="J23" s="310"/>
    </row>
    <row r="24" spans="2:10" s="11" customFormat="1" x14ac:dyDescent="0.2">
      <c r="B24" s="151">
        <v>10</v>
      </c>
      <c r="C24" s="152">
        <v>17</v>
      </c>
      <c r="D24" s="236" t="s">
        <v>196</v>
      </c>
      <c r="E24" s="307" t="s">
        <v>11</v>
      </c>
      <c r="F24" s="308">
        <v>100</v>
      </c>
      <c r="G24" s="308">
        <v>100</v>
      </c>
      <c r="H24" s="309"/>
      <c r="I24" s="308"/>
      <c r="J24" s="310"/>
    </row>
    <row r="25" spans="2:10" s="11" customFormat="1" x14ac:dyDescent="0.2">
      <c r="B25" s="151">
        <v>11</v>
      </c>
      <c r="C25" s="152">
        <v>18</v>
      </c>
      <c r="D25" s="236" t="s">
        <v>197</v>
      </c>
      <c r="E25" s="307" t="s">
        <v>11</v>
      </c>
      <c r="F25" s="308">
        <v>100</v>
      </c>
      <c r="G25" s="308">
        <v>100</v>
      </c>
      <c r="H25" s="309"/>
      <c r="I25" s="308"/>
      <c r="J25" s="310"/>
    </row>
    <row r="26" spans="2:10" s="11" customFormat="1" x14ac:dyDescent="0.2">
      <c r="B26" s="151">
        <v>12</v>
      </c>
      <c r="C26" s="152">
        <v>19</v>
      </c>
      <c r="D26" s="236" t="s">
        <v>198</v>
      </c>
      <c r="E26" s="307" t="s">
        <v>11</v>
      </c>
      <c r="F26" s="308">
        <v>100</v>
      </c>
      <c r="G26" s="308">
        <v>100</v>
      </c>
      <c r="H26" s="309"/>
      <c r="I26" s="308"/>
      <c r="J26" s="310"/>
    </row>
    <row r="27" spans="2:10" s="11" customFormat="1" x14ac:dyDescent="0.2">
      <c r="B27" s="151">
        <v>13</v>
      </c>
      <c r="C27" s="152">
        <v>28</v>
      </c>
      <c r="D27" s="236" t="s">
        <v>199</v>
      </c>
      <c r="E27" s="307" t="s">
        <v>8</v>
      </c>
      <c r="F27" s="308">
        <v>100</v>
      </c>
      <c r="G27" s="308">
        <v>100</v>
      </c>
      <c r="H27" s="309"/>
      <c r="I27" s="308"/>
      <c r="J27" s="310"/>
    </row>
    <row r="28" spans="2:10" s="11" customFormat="1" x14ac:dyDescent="0.2">
      <c r="B28" s="151">
        <v>14</v>
      </c>
      <c r="C28" s="152">
        <v>29</v>
      </c>
      <c r="D28" s="236" t="s">
        <v>200</v>
      </c>
      <c r="E28" s="307" t="s">
        <v>11</v>
      </c>
      <c r="F28" s="308">
        <v>100</v>
      </c>
      <c r="G28" s="308">
        <v>100</v>
      </c>
      <c r="H28" s="309"/>
      <c r="I28" s="308"/>
      <c r="J28" s="310"/>
    </row>
    <row r="29" spans="2:10" s="11" customFormat="1" x14ac:dyDescent="0.2">
      <c r="B29" s="151">
        <v>15</v>
      </c>
      <c r="C29" s="152">
        <v>32</v>
      </c>
      <c r="D29" s="236" t="s">
        <v>201</v>
      </c>
      <c r="E29" s="307" t="s">
        <v>8</v>
      </c>
      <c r="F29" s="308">
        <v>100</v>
      </c>
      <c r="G29" s="308">
        <v>100</v>
      </c>
      <c r="H29" s="309"/>
      <c r="I29" s="308"/>
      <c r="J29" s="310"/>
    </row>
    <row r="30" spans="2:10" s="11" customFormat="1" x14ac:dyDescent="0.2">
      <c r="B30" s="151">
        <v>16</v>
      </c>
      <c r="C30" s="152">
        <v>34</v>
      </c>
      <c r="D30" s="236" t="s">
        <v>202</v>
      </c>
      <c r="E30" s="307" t="s">
        <v>8</v>
      </c>
      <c r="F30" s="308">
        <v>100</v>
      </c>
      <c r="G30" s="308">
        <v>100</v>
      </c>
      <c r="H30" s="309"/>
      <c r="I30" s="308"/>
      <c r="J30" s="310"/>
    </row>
    <row r="31" spans="2:10" s="11" customFormat="1" x14ac:dyDescent="0.2">
      <c r="B31" s="151">
        <v>17</v>
      </c>
      <c r="C31" s="152">
        <v>35</v>
      </c>
      <c r="D31" s="236" t="s">
        <v>203</v>
      </c>
      <c r="E31" s="307" t="s">
        <v>8</v>
      </c>
      <c r="F31" s="308">
        <v>100</v>
      </c>
      <c r="G31" s="308">
        <v>100</v>
      </c>
      <c r="H31" s="309"/>
      <c r="I31" s="308"/>
      <c r="J31" s="310"/>
    </row>
    <row r="32" spans="2:10" s="11" customFormat="1" x14ac:dyDescent="0.2">
      <c r="B32" s="151">
        <v>18</v>
      </c>
      <c r="C32" s="152">
        <v>36</v>
      </c>
      <c r="D32" s="236" t="s">
        <v>204</v>
      </c>
      <c r="E32" s="307" t="s">
        <v>8</v>
      </c>
      <c r="F32" s="308">
        <v>100</v>
      </c>
      <c r="G32" s="308">
        <v>100</v>
      </c>
      <c r="H32" s="309"/>
      <c r="I32" s="308"/>
      <c r="J32" s="310"/>
    </row>
    <row r="33" spans="2:10" s="11" customFormat="1" x14ac:dyDescent="0.2">
      <c r="B33" s="151">
        <v>19</v>
      </c>
      <c r="C33" s="152">
        <v>37</v>
      </c>
      <c r="D33" s="236" t="s">
        <v>205</v>
      </c>
      <c r="E33" s="307" t="s">
        <v>8</v>
      </c>
      <c r="F33" s="308">
        <v>100</v>
      </c>
      <c r="G33" s="308">
        <v>100</v>
      </c>
      <c r="H33" s="309"/>
      <c r="I33" s="308"/>
      <c r="J33" s="310"/>
    </row>
    <row r="34" spans="2:10" ht="5.25" customHeight="1" thickBot="1" x14ac:dyDescent="0.25">
      <c r="B34" s="324"/>
      <c r="C34" s="325"/>
      <c r="D34" s="325"/>
      <c r="E34" s="325"/>
      <c r="F34" s="57"/>
      <c r="G34" s="57"/>
      <c r="H34" s="233"/>
      <c r="I34" s="57"/>
      <c r="J34" s="188"/>
    </row>
    <row r="35" spans="2:10" ht="13.5" thickTop="1" x14ac:dyDescent="0.2">
      <c r="B35" s="317" t="s">
        <v>17</v>
      </c>
      <c r="C35" s="318"/>
      <c r="D35" s="153" t="s">
        <v>8</v>
      </c>
      <c r="E35" s="53">
        <f>COUNTIF($E$15:$E$33,D35)</f>
        <v>12</v>
      </c>
      <c r="F35" s="71"/>
      <c r="G35" s="221"/>
      <c r="H35" s="72"/>
      <c r="I35" s="221"/>
    </row>
    <row r="36" spans="2:10" x14ac:dyDescent="0.2">
      <c r="B36" s="319"/>
      <c r="C36" s="320"/>
      <c r="D36" s="154" t="s">
        <v>7</v>
      </c>
      <c r="E36" s="54">
        <f>COUNTIF($E$15:$E$33,D36)</f>
        <v>0</v>
      </c>
      <c r="F36" s="56"/>
      <c r="G36" s="61"/>
      <c r="H36" s="57"/>
      <c r="I36" s="61"/>
    </row>
    <row r="37" spans="2:10" x14ac:dyDescent="0.2">
      <c r="B37" s="319"/>
      <c r="C37" s="320"/>
      <c r="D37" s="155" t="s">
        <v>11</v>
      </c>
      <c r="E37" s="78">
        <f>COUNTIF($E$15:$E$33,D37)</f>
        <v>7</v>
      </c>
      <c r="F37" s="56"/>
      <c r="G37" s="61"/>
      <c r="H37" s="57"/>
      <c r="I37" s="61"/>
    </row>
    <row r="38" spans="2:10" ht="13.5" thickBot="1" x14ac:dyDescent="0.25">
      <c r="B38" s="321"/>
      <c r="C38" s="322"/>
      <c r="D38" s="268" t="s">
        <v>37</v>
      </c>
      <c r="E38" s="55">
        <f>SUM(E35:E37)</f>
        <v>19</v>
      </c>
      <c r="F38" s="58"/>
      <c r="G38" s="222"/>
      <c r="H38" s="59"/>
      <c r="I38" s="222"/>
    </row>
    <row r="39" spans="2:10" ht="13.5" thickTop="1" x14ac:dyDescent="0.2"/>
  </sheetData>
  <sheetProtection selectLockedCells="1"/>
  <mergeCells count="16">
    <mergeCell ref="B1:I1"/>
    <mergeCell ref="B2:I2"/>
    <mergeCell ref="B3:I3"/>
    <mergeCell ref="B5:I5"/>
    <mergeCell ref="B7:I7"/>
    <mergeCell ref="B35:C38"/>
    <mergeCell ref="B4:I4"/>
    <mergeCell ref="B34:E34"/>
    <mergeCell ref="D12:D13"/>
    <mergeCell ref="B12:B13"/>
    <mergeCell ref="E12:E13"/>
    <mergeCell ref="C12:C13"/>
    <mergeCell ref="I12:I13"/>
    <mergeCell ref="B10:I10"/>
    <mergeCell ref="B11:I11"/>
    <mergeCell ref="F12:G12"/>
  </mergeCells>
  <phoneticPr fontId="0" type="noConversion"/>
  <conditionalFormatting sqref="B15:I33">
    <cfRule type="expression" dxfId="183" priority="28">
      <formula>MOD(ROW(),2)</formula>
    </cfRule>
  </conditionalFormatting>
  <conditionalFormatting sqref="E36">
    <cfRule type="cellIs" dxfId="182" priority="11" operator="greaterThan">
      <formula>0</formula>
    </cfRule>
  </conditionalFormatting>
  <conditionalFormatting sqref="E15:E33">
    <cfRule type="cellIs" dxfId="181" priority="8" operator="equal">
      <formula>"RECHAZO"</formula>
    </cfRule>
    <cfRule type="cellIs" dxfId="180" priority="9" operator="equal">
      <formula>"NO ADMISIBLE"</formula>
    </cfRule>
    <cfRule type="cellIs" dxfId="179" priority="10" operator="equal">
      <formula>"ADMISIBLE"</formula>
    </cfRule>
  </conditionalFormatting>
  <conditionalFormatting sqref="F15:H33">
    <cfRule type="cellIs" dxfId="178" priority="2" operator="equal">
      <formula>0</formula>
    </cfRule>
  </conditionalFormatting>
  <conditionalFormatting sqref="I15:I33">
    <cfRule type="cellIs" dxfId="177" priority="1" operator="equal">
      <formula>"NO"</formula>
    </cfRule>
  </conditionalFormatting>
  <dataValidations count="1">
    <dataValidation type="list" allowBlank="1" showInputMessage="1" showErrorMessage="1" sqref="E15:E33">
      <formula1>RESULTADO</formula1>
    </dataValidation>
  </dataValidations>
  <printOptions horizontalCentered="1"/>
  <pageMargins left="0.23622047244094491" right="0.23622047244094491" top="0.74803149606299213" bottom="0.74803149606299213" header="0.31496062992125984" footer="0.31496062992125984"/>
  <pageSetup scale="53" orientation="portrait" horizontalDpi="1200" verticalDpi="1200" r:id="rId1"/>
  <headerFooter alignWithMargins="0">
    <oddFooter>&amp;L&amp;9&amp;F
&amp;A&amp;C&amp;P de &amp;N&amp;R&amp;9INSTITUTO NACIONAL DE VIAS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YT154"/>
  <sheetViews>
    <sheetView showGridLines="0" topLeftCell="B10" zoomScale="80" zoomScaleNormal="80" zoomScaleSheetLayoutView="55" workbookViewId="0">
      <pane xSplit="7" ySplit="3" topLeftCell="BA47" activePane="bottomRight" state="frozen"/>
      <selection activeCell="B10" sqref="B10"/>
      <selection pane="topRight" activeCell="I10" sqref="I10"/>
      <selection pane="bottomLeft" activeCell="B13" sqref="B13"/>
      <selection pane="bottomRight" activeCell="BC57" sqref="BC57"/>
    </sheetView>
  </sheetViews>
  <sheetFormatPr baseColWidth="10" defaultColWidth="0" defaultRowHeight="12.75" x14ac:dyDescent="0.2"/>
  <cols>
    <col min="1" max="1" width="2.7109375" style="2" customWidth="1"/>
    <col min="2" max="2" width="7" style="15" customWidth="1"/>
    <col min="3" max="3" width="9.5703125" style="15" hidden="1" customWidth="1"/>
    <col min="4" max="4" width="45.7109375" style="2" customWidth="1"/>
    <col min="5" max="5" width="10.140625" style="2" customWidth="1"/>
    <col min="6" max="6" width="13.5703125" style="2" customWidth="1"/>
    <col min="7" max="7" width="18" style="12" customWidth="1"/>
    <col min="8" max="8" width="22.140625" style="2" customWidth="1"/>
    <col min="9" max="10" width="21.140625" style="12" customWidth="1"/>
    <col min="11" max="11" width="21.140625" style="16" customWidth="1"/>
    <col min="12" max="65" width="21.140625" customWidth="1"/>
    <col min="66" max="66" width="16.5703125" customWidth="1"/>
    <col min="67" max="67" width="11.42578125" style="2" hidden="1" customWidth="1"/>
    <col min="68" max="669" width="0" style="2" hidden="1" customWidth="1"/>
    <col min="670" max="670" width="11.42578125" style="2" hidden="1" customWidth="1"/>
    <col min="671" max="16384" width="0" style="2" hidden="1"/>
  </cols>
  <sheetData>
    <row r="1" spans="1:66" s="34" customFormat="1" ht="20.100000000000001" customHeight="1" x14ac:dyDescent="0.25">
      <c r="A1" s="35"/>
      <c r="B1" s="338" t="str">
        <f>RESUMEN!B1</f>
        <v>FIDUPREVISORA</v>
      </c>
      <c r="C1" s="338"/>
      <c r="D1" s="338"/>
      <c r="E1" s="338"/>
      <c r="F1" s="338"/>
      <c r="G1" s="338"/>
      <c r="H1" s="338"/>
      <c r="I1" s="36"/>
      <c r="J1" s="35"/>
      <c r="K1" s="37"/>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row>
    <row r="2" spans="1:66" s="34" customFormat="1" ht="20.100000000000001" customHeight="1" x14ac:dyDescent="0.25">
      <c r="A2" s="35"/>
      <c r="B2" s="323"/>
      <c r="C2" s="323"/>
      <c r="D2" s="323"/>
      <c r="E2" s="323"/>
      <c r="F2" s="323"/>
      <c r="G2" s="323"/>
      <c r="H2" s="323"/>
      <c r="I2" s="36"/>
      <c r="J2" s="35"/>
      <c r="K2" s="3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row>
    <row r="3" spans="1:66" s="34" customFormat="1" ht="40.5" customHeight="1" x14ac:dyDescent="0.25">
      <c r="A3" s="35"/>
      <c r="B3" s="323" t="str">
        <f>RESUMEN!B3</f>
        <v>PATRIMONIO AUTÓNOMO FIDEICOMISO ECOPETROL ZOMAC (en adelante PATRIMONIO AUTÓNOMO) FIDUCIARIA LA PREVISORA S.A.</v>
      </c>
      <c r="C3" s="323"/>
      <c r="D3" s="323"/>
      <c r="E3" s="323"/>
      <c r="F3" s="323"/>
      <c r="G3" s="323"/>
      <c r="H3" s="323"/>
      <c r="I3" s="36"/>
      <c r="J3" s="199"/>
      <c r="K3" s="3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row>
    <row r="4" spans="1:66" s="34" customFormat="1" ht="20.100000000000001" customHeight="1" x14ac:dyDescent="0.25">
      <c r="A4" s="35"/>
      <c r="B4" s="323"/>
      <c r="C4" s="323"/>
      <c r="D4" s="323"/>
      <c r="E4" s="323"/>
      <c r="F4" s="323"/>
      <c r="G4" s="323"/>
      <c r="H4" s="323"/>
      <c r="I4" s="36"/>
      <c r="J4" s="200"/>
      <c r="K4" s="37"/>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row>
    <row r="5" spans="1:66" s="34" customFormat="1" ht="20.100000000000001" customHeight="1" x14ac:dyDescent="0.25">
      <c r="A5" s="35"/>
      <c r="B5" s="323" t="str">
        <f>RESUMEN!B5</f>
        <v>LICITACIÓN PRIVADA ABIERTA N° 006 DE 2018</v>
      </c>
      <c r="C5" s="323"/>
      <c r="D5" s="323"/>
      <c r="E5" s="323"/>
      <c r="F5" s="323"/>
      <c r="G5" s="323"/>
      <c r="H5" s="323"/>
      <c r="I5" s="36"/>
      <c r="J5" s="35"/>
      <c r="K5" s="37"/>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row>
    <row r="6" spans="1:66" s="34" customFormat="1" ht="18.75" x14ac:dyDescent="0.25">
      <c r="A6" s="35"/>
      <c r="B6" s="49"/>
      <c r="C6" s="31"/>
      <c r="D6" s="32"/>
      <c r="E6" s="32"/>
      <c r="F6" s="32"/>
      <c r="G6" s="32"/>
      <c r="H6" s="32"/>
      <c r="I6" s="36"/>
      <c r="J6" s="35"/>
      <c r="K6" s="37"/>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34" customFormat="1" ht="36.75" customHeight="1" x14ac:dyDescent="0.25">
      <c r="A7" s="35"/>
      <c r="B7" s="323" t="str">
        <f>RESUMEN!B7</f>
        <v>PROYECTO No. 3: MEJORAMIENTO MEDIANTE LA PAVIMENTACIÓN DE LA CALLE 17 ENTRE LA VÍA NACIONAL Y LA VILLA OLÍMPICA DEL MUNICIPIO DE SAN MARTÍN, DEPARTAMENTO DEL META VINCULADOS AL CONTRIBUYENTE ECOPETROL S.A. DENTRO DEL MARCO DEL MECANISMO DE OBRAS POR IMPUESTOS</v>
      </c>
      <c r="C7" s="323"/>
      <c r="D7" s="323"/>
      <c r="E7" s="323"/>
      <c r="F7" s="323"/>
      <c r="G7" s="323"/>
      <c r="H7" s="323"/>
      <c r="I7" s="36"/>
      <c r="J7" s="35"/>
      <c r="K7" s="3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s="34" customFormat="1" ht="18.75" x14ac:dyDescent="0.25">
      <c r="A8" s="35"/>
      <c r="B8" s="49"/>
      <c r="C8" s="31"/>
      <c r="D8" s="32"/>
      <c r="E8" s="32"/>
      <c r="F8" s="32"/>
      <c r="G8" s="32"/>
      <c r="H8" s="32"/>
      <c r="I8" s="36"/>
      <c r="J8" s="35"/>
      <c r="K8" s="37"/>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row>
    <row r="9" spans="1:66" s="17" customFormat="1" ht="13.5" thickBot="1" x14ac:dyDescent="0.25">
      <c r="A9" s="21"/>
      <c r="B9" s="334" t="s">
        <v>82</v>
      </c>
      <c r="C9" s="334"/>
      <c r="D9" s="334"/>
      <c r="E9" s="334"/>
      <c r="F9" s="334"/>
      <c r="G9" s="334"/>
      <c r="H9" s="334"/>
      <c r="I9" s="26"/>
      <c r="J9" s="25"/>
      <c r="K9" s="25"/>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row>
    <row r="10" spans="1:66" s="8" customFormat="1" ht="20.100000000000001" customHeight="1" thickTop="1" thickBot="1" x14ac:dyDescent="0.25">
      <c r="A10" s="18"/>
      <c r="B10" s="50"/>
      <c r="C10" s="13"/>
      <c r="D10" s="19"/>
      <c r="E10" s="20"/>
      <c r="F10" s="20"/>
      <c r="G10" s="24"/>
      <c r="H10" s="27"/>
      <c r="I10" s="358" t="str">
        <f>RESUMEN!$E$15</f>
        <v>ADMISIBLE</v>
      </c>
      <c r="J10" s="358"/>
      <c r="K10" s="358"/>
      <c r="L10" s="358" t="str">
        <f>RESUMEN!$E$16</f>
        <v>ADMISIBLE</v>
      </c>
      <c r="M10" s="358"/>
      <c r="N10" s="358"/>
      <c r="O10" s="358" t="str">
        <f>RESUMEN!$E$17</f>
        <v>RECHAZO</v>
      </c>
      <c r="P10" s="358"/>
      <c r="Q10" s="358"/>
      <c r="R10" s="358" t="str">
        <f>RESUMEN!$E$18</f>
        <v>ADMISIBLE</v>
      </c>
      <c r="S10" s="358"/>
      <c r="T10" s="358"/>
      <c r="U10" s="358" t="str">
        <f>RESUMEN!$E$19</f>
        <v>RECHAZO</v>
      </c>
      <c r="V10" s="358"/>
      <c r="W10" s="358"/>
      <c r="X10" s="358" t="str">
        <f>RESUMEN!$E$20</f>
        <v>ADMISIBLE</v>
      </c>
      <c r="Y10" s="358"/>
      <c r="Z10" s="358"/>
      <c r="AA10" s="358" t="str">
        <f>RESUMEN!$E$21</f>
        <v>ADMISIBLE</v>
      </c>
      <c r="AB10" s="358"/>
      <c r="AC10" s="358"/>
      <c r="AD10" s="358" t="str">
        <f>RESUMEN!$E$22</f>
        <v>RECHAZO</v>
      </c>
      <c r="AE10" s="358"/>
      <c r="AF10" s="358"/>
      <c r="AG10" s="358" t="str">
        <f>RESUMEN!$E$23</f>
        <v>ADMISIBLE</v>
      </c>
      <c r="AH10" s="358"/>
      <c r="AI10" s="358"/>
      <c r="AJ10" s="358" t="str">
        <f>RESUMEN!$E$24</f>
        <v>RECHAZO</v>
      </c>
      <c r="AK10" s="358"/>
      <c r="AL10" s="358"/>
      <c r="AM10" s="358" t="str">
        <f>RESUMEN!$E$25</f>
        <v>RECHAZO</v>
      </c>
      <c r="AN10" s="358"/>
      <c r="AO10" s="358"/>
      <c r="AP10" s="358" t="str">
        <f>RESUMEN!$E$26</f>
        <v>RECHAZO</v>
      </c>
      <c r="AQ10" s="358"/>
      <c r="AR10" s="358"/>
      <c r="AS10" s="358" t="str">
        <f>RESUMEN!$E$27</f>
        <v>ADMISIBLE</v>
      </c>
      <c r="AT10" s="358"/>
      <c r="AU10" s="358"/>
      <c r="AV10" s="358" t="str">
        <f>RESUMEN!$E$28</f>
        <v>RECHAZO</v>
      </c>
      <c r="AW10" s="358"/>
      <c r="AX10" s="358"/>
      <c r="AY10" s="358" t="str">
        <f>RESUMEN!$E$29</f>
        <v>ADMISIBLE</v>
      </c>
      <c r="AZ10" s="358"/>
      <c r="BA10" s="358"/>
      <c r="BB10" s="358" t="str">
        <f>RESUMEN!$E$30</f>
        <v>ADMISIBLE</v>
      </c>
      <c r="BC10" s="358"/>
      <c r="BD10" s="358"/>
      <c r="BE10" s="358" t="str">
        <f>RESUMEN!$E$31</f>
        <v>ADMISIBLE</v>
      </c>
      <c r="BF10" s="358"/>
      <c r="BG10" s="358"/>
      <c r="BH10" s="358" t="str">
        <f>RESUMEN!$E$32</f>
        <v>ADMISIBLE</v>
      </c>
      <c r="BI10" s="358"/>
      <c r="BJ10" s="358"/>
      <c r="BK10" s="358" t="str">
        <f>RESUMEN!$E$33</f>
        <v>ADMISIBLE</v>
      </c>
      <c r="BL10" s="358"/>
      <c r="BM10" s="358"/>
      <c r="BN10"/>
    </row>
    <row r="11" spans="1:66" s="9" customFormat="1" ht="20.25" customHeight="1" thickTop="1" x14ac:dyDescent="0.25">
      <c r="A11" s="22"/>
      <c r="B11" s="366"/>
      <c r="C11" s="366"/>
      <c r="D11" s="366"/>
      <c r="E11" s="366"/>
      <c r="F11" s="366"/>
      <c r="G11" s="366"/>
      <c r="H11" s="366"/>
      <c r="I11" s="359">
        <f>RESUMEN!$C$15</f>
        <v>2</v>
      </c>
      <c r="J11" s="359"/>
      <c r="K11" s="359"/>
      <c r="L11" s="359">
        <f>RESUMEN!$C$16</f>
        <v>6</v>
      </c>
      <c r="M11" s="359"/>
      <c r="N11" s="359"/>
      <c r="O11" s="359">
        <f>RESUMEN!$C$17</f>
        <v>8</v>
      </c>
      <c r="P11" s="359"/>
      <c r="Q11" s="359"/>
      <c r="R11" s="359">
        <f>RESUMEN!$C$18</f>
        <v>9</v>
      </c>
      <c r="S11" s="359"/>
      <c r="T11" s="359"/>
      <c r="U11" s="359">
        <f>RESUMEN!$C$19</f>
        <v>10</v>
      </c>
      <c r="V11" s="359"/>
      <c r="W11" s="359"/>
      <c r="X11" s="359">
        <f>RESUMEN!$C$20</f>
        <v>11</v>
      </c>
      <c r="Y11" s="359"/>
      <c r="Z11" s="359"/>
      <c r="AA11" s="359">
        <f>RESUMEN!$C$21</f>
        <v>14</v>
      </c>
      <c r="AB11" s="359"/>
      <c r="AC11" s="359"/>
      <c r="AD11" s="359">
        <f>RESUMEN!$C$22</f>
        <v>15</v>
      </c>
      <c r="AE11" s="359"/>
      <c r="AF11" s="359"/>
      <c r="AG11" s="359">
        <f>RESUMEN!$C$23</f>
        <v>16</v>
      </c>
      <c r="AH11" s="359"/>
      <c r="AI11" s="359"/>
      <c r="AJ11" s="359">
        <f>RESUMEN!$C$24</f>
        <v>17</v>
      </c>
      <c r="AK11" s="359"/>
      <c r="AL11" s="359"/>
      <c r="AM11" s="359">
        <f>RESUMEN!$C$25</f>
        <v>18</v>
      </c>
      <c r="AN11" s="359"/>
      <c r="AO11" s="359"/>
      <c r="AP11" s="359">
        <f>RESUMEN!$C$26</f>
        <v>19</v>
      </c>
      <c r="AQ11" s="359"/>
      <c r="AR11" s="359"/>
      <c r="AS11" s="359">
        <f>RESUMEN!$C$27</f>
        <v>28</v>
      </c>
      <c r="AT11" s="359"/>
      <c r="AU11" s="359"/>
      <c r="AV11" s="359">
        <f>RESUMEN!$C$28</f>
        <v>29</v>
      </c>
      <c r="AW11" s="359"/>
      <c r="AX11" s="359"/>
      <c r="AY11" s="359">
        <f>RESUMEN!$C$29</f>
        <v>32</v>
      </c>
      <c r="AZ11" s="359"/>
      <c r="BA11" s="359"/>
      <c r="BB11" s="359">
        <f>RESUMEN!$C$30</f>
        <v>34</v>
      </c>
      <c r="BC11" s="359"/>
      <c r="BD11" s="359"/>
      <c r="BE11" s="359">
        <f>RESUMEN!$C$31</f>
        <v>35</v>
      </c>
      <c r="BF11" s="359"/>
      <c r="BG11" s="359"/>
      <c r="BH11" s="359">
        <f>RESUMEN!$C$32</f>
        <v>36</v>
      </c>
      <c r="BI11" s="359"/>
      <c r="BJ11" s="359"/>
      <c r="BK11" s="359">
        <f>RESUMEN!$C$33</f>
        <v>37</v>
      </c>
      <c r="BL11" s="359"/>
      <c r="BM11" s="359"/>
      <c r="BN11"/>
    </row>
    <row r="12" spans="1:66" s="10" customFormat="1" ht="17.25" customHeight="1" thickBot="1" x14ac:dyDescent="0.25">
      <c r="A12" s="30"/>
      <c r="B12" s="367" t="s">
        <v>0</v>
      </c>
      <c r="C12" s="367"/>
      <c r="D12" s="367"/>
      <c r="E12" s="367"/>
      <c r="F12" s="367"/>
      <c r="G12" s="367"/>
      <c r="H12" s="367"/>
      <c r="I12" s="357" t="str">
        <f>RESUMEN!$D$15</f>
        <v>CONSORCIO VÍAS SAN MARTIN</v>
      </c>
      <c r="J12" s="357"/>
      <c r="K12" s="357"/>
      <c r="L12" s="357" t="str">
        <f>RESUMEN!$D$16</f>
        <v>INGECON SA</v>
      </c>
      <c r="M12" s="357"/>
      <c r="N12" s="357"/>
      <c r="O12" s="357" t="str">
        <f>RESUMEN!$D$17</f>
        <v>CONSORCIO VÍAS PG</v>
      </c>
      <c r="P12" s="357"/>
      <c r="Q12" s="357"/>
      <c r="R12" s="357" t="str">
        <f>RESUMEN!$D$18</f>
        <v>CONSORCIO VÍAS 2019</v>
      </c>
      <c r="S12" s="357"/>
      <c r="T12" s="357"/>
      <c r="U12" s="357" t="str">
        <f>RESUMEN!$D$19</f>
        <v xml:space="preserve">CONSORCIO PUERTA DEL SOL </v>
      </c>
      <c r="V12" s="357"/>
      <c r="W12" s="357"/>
      <c r="X12" s="357" t="str">
        <f>RESUMEN!$D$20</f>
        <v>CONSORCIO VIAL</v>
      </c>
      <c r="Y12" s="357"/>
      <c r="Z12" s="357"/>
      <c r="AA12" s="357" t="str">
        <f>RESUMEN!$D$21</f>
        <v>CONSORCIO RENOVACION URBANA</v>
      </c>
      <c r="AB12" s="357"/>
      <c r="AC12" s="357"/>
      <c r="AD12" s="357" t="str">
        <f>RESUMEN!$D$22</f>
        <v>CONSORCIO MEJORAMIENTO VIAL 2019</v>
      </c>
      <c r="AE12" s="357"/>
      <c r="AF12" s="357"/>
      <c r="AG12" s="357" t="str">
        <f>RESUMEN!$D$23</f>
        <v>INGENIERIA DE PROYECTOS AML SA.S</v>
      </c>
      <c r="AH12" s="357"/>
      <c r="AI12" s="357"/>
      <c r="AJ12" s="357" t="str">
        <f>RESUMEN!$D$24</f>
        <v>U.T SERVICIOS E INGENIERIA COROCORO</v>
      </c>
      <c r="AK12" s="357"/>
      <c r="AL12" s="357"/>
      <c r="AM12" s="357" t="str">
        <f>RESUMEN!$D$25</f>
        <v>CONSORCIO VIAL ARAUCA</v>
      </c>
      <c r="AN12" s="357"/>
      <c r="AO12" s="357"/>
      <c r="AP12" s="357" t="str">
        <f>RESUMEN!$D$26</f>
        <v>CONSORCIO A&amp;C</v>
      </c>
      <c r="AQ12" s="357"/>
      <c r="AR12" s="357"/>
      <c r="AS12" s="357" t="str">
        <f>RESUMEN!$D$27</f>
        <v>CONSORCIO VÍAL SAN MARTÍN</v>
      </c>
      <c r="AT12" s="357"/>
      <c r="AU12" s="357"/>
      <c r="AV12" s="357" t="str">
        <f>RESUMEN!$D$28</f>
        <v>CONSORCIO VÍAS COLOMBIA 2019</v>
      </c>
      <c r="AW12" s="357"/>
      <c r="AX12" s="357"/>
      <c r="AY12" s="357" t="str">
        <f>RESUMEN!$D$29</f>
        <v>CONSORCIO VÍAS AL LLANO</v>
      </c>
      <c r="AZ12" s="357"/>
      <c r="BA12" s="357"/>
      <c r="BB12" s="357" t="str">
        <f>RESUMEN!$D$30</f>
        <v>CONSORCIO SAN MARTÍN</v>
      </c>
      <c r="BC12" s="357"/>
      <c r="BD12" s="357"/>
      <c r="BE12" s="357" t="str">
        <f>RESUMEN!$D$31</f>
        <v>OCIEEQUIPOS SAS</v>
      </c>
      <c r="BF12" s="357"/>
      <c r="BG12" s="357"/>
      <c r="BH12" s="357" t="str">
        <f>RESUMEN!$D$32</f>
        <v>CONSORCIO INFRAESTRUCTURA VIAL</v>
      </c>
      <c r="BI12" s="357"/>
      <c r="BJ12" s="357"/>
      <c r="BK12" s="357" t="str">
        <f>RESUMEN!$D$33</f>
        <v>CONSORCIO VÍA OLIMPICA 2018</v>
      </c>
      <c r="BL12" s="357"/>
      <c r="BM12" s="357"/>
      <c r="BN12"/>
    </row>
    <row r="13" spans="1:66" ht="36" customHeight="1" thickBot="1" x14ac:dyDescent="0.25">
      <c r="A13" s="11"/>
      <c r="B13" s="202" t="s">
        <v>124</v>
      </c>
      <c r="C13" s="203"/>
      <c r="D13" s="204" t="s">
        <v>90</v>
      </c>
      <c r="E13" s="204" t="s">
        <v>1</v>
      </c>
      <c r="F13" s="205" t="s">
        <v>6</v>
      </c>
      <c r="G13" s="300" t="s">
        <v>152</v>
      </c>
      <c r="H13" s="207" t="s">
        <v>38</v>
      </c>
      <c r="I13" s="208" t="s">
        <v>104</v>
      </c>
      <c r="J13" s="204" t="s">
        <v>2</v>
      </c>
      <c r="K13" s="206" t="s">
        <v>105</v>
      </c>
      <c r="L13" s="208" t="s">
        <v>104</v>
      </c>
      <c r="M13" s="204" t="s">
        <v>2</v>
      </c>
      <c r="N13" s="206" t="s">
        <v>105</v>
      </c>
      <c r="O13" s="208" t="s">
        <v>104</v>
      </c>
      <c r="P13" s="204" t="s">
        <v>2</v>
      </c>
      <c r="Q13" s="206" t="s">
        <v>105</v>
      </c>
      <c r="R13" s="208" t="s">
        <v>104</v>
      </c>
      <c r="S13" s="204" t="s">
        <v>2</v>
      </c>
      <c r="T13" s="206" t="s">
        <v>105</v>
      </c>
      <c r="U13" s="208" t="s">
        <v>104</v>
      </c>
      <c r="V13" s="204" t="s">
        <v>2</v>
      </c>
      <c r="W13" s="206" t="s">
        <v>105</v>
      </c>
      <c r="X13" s="208" t="s">
        <v>104</v>
      </c>
      <c r="Y13" s="204" t="s">
        <v>2</v>
      </c>
      <c r="Z13" s="206" t="s">
        <v>105</v>
      </c>
      <c r="AA13" s="208" t="s">
        <v>104</v>
      </c>
      <c r="AB13" s="204" t="s">
        <v>2</v>
      </c>
      <c r="AC13" s="206" t="s">
        <v>105</v>
      </c>
      <c r="AD13" s="208" t="s">
        <v>104</v>
      </c>
      <c r="AE13" s="204" t="s">
        <v>2</v>
      </c>
      <c r="AF13" s="206" t="s">
        <v>105</v>
      </c>
      <c r="AG13" s="208" t="s">
        <v>104</v>
      </c>
      <c r="AH13" s="204" t="s">
        <v>2</v>
      </c>
      <c r="AI13" s="206" t="s">
        <v>105</v>
      </c>
      <c r="AJ13" s="208" t="s">
        <v>104</v>
      </c>
      <c r="AK13" s="204" t="s">
        <v>2</v>
      </c>
      <c r="AL13" s="206" t="s">
        <v>105</v>
      </c>
      <c r="AM13" s="208" t="s">
        <v>104</v>
      </c>
      <c r="AN13" s="204" t="s">
        <v>2</v>
      </c>
      <c r="AO13" s="206" t="s">
        <v>105</v>
      </c>
      <c r="AP13" s="208" t="s">
        <v>104</v>
      </c>
      <c r="AQ13" s="204" t="s">
        <v>2</v>
      </c>
      <c r="AR13" s="206" t="s">
        <v>105</v>
      </c>
      <c r="AS13" s="208" t="s">
        <v>104</v>
      </c>
      <c r="AT13" s="204" t="s">
        <v>2</v>
      </c>
      <c r="AU13" s="206" t="s">
        <v>105</v>
      </c>
      <c r="AV13" s="208" t="s">
        <v>104</v>
      </c>
      <c r="AW13" s="204" t="s">
        <v>2</v>
      </c>
      <c r="AX13" s="206" t="s">
        <v>105</v>
      </c>
      <c r="AY13" s="208" t="s">
        <v>104</v>
      </c>
      <c r="AZ13" s="204" t="s">
        <v>2</v>
      </c>
      <c r="BA13" s="206" t="s">
        <v>105</v>
      </c>
      <c r="BB13" s="208" t="s">
        <v>104</v>
      </c>
      <c r="BC13" s="204" t="s">
        <v>2</v>
      </c>
      <c r="BD13" s="206" t="s">
        <v>105</v>
      </c>
      <c r="BE13" s="208" t="s">
        <v>104</v>
      </c>
      <c r="BF13" s="204" t="s">
        <v>2</v>
      </c>
      <c r="BG13" s="206" t="s">
        <v>105</v>
      </c>
      <c r="BH13" s="208" t="s">
        <v>104</v>
      </c>
      <c r="BI13" s="204" t="s">
        <v>2</v>
      </c>
      <c r="BJ13" s="206" t="s">
        <v>105</v>
      </c>
      <c r="BK13" s="208" t="s">
        <v>104</v>
      </c>
      <c r="BL13" s="204" t="s">
        <v>2</v>
      </c>
      <c r="BM13" s="206" t="s">
        <v>105</v>
      </c>
    </row>
    <row r="14" spans="1:66" ht="20.45" customHeight="1" x14ac:dyDescent="0.2">
      <c r="A14" s="11"/>
      <c r="B14" s="156" t="s">
        <v>118</v>
      </c>
      <c r="C14" s="157"/>
      <c r="D14" s="157"/>
      <c r="E14" s="157"/>
      <c r="F14" s="189"/>
      <c r="G14" s="157"/>
      <c r="H14" s="184">
        <f>SUM(H15:H18)</f>
        <v>131106385</v>
      </c>
      <c r="I14" s="185"/>
      <c r="J14" s="186">
        <f>SUM(J15:J18)</f>
        <v>129794553</v>
      </c>
      <c r="K14" s="187"/>
      <c r="L14" s="185"/>
      <c r="M14" s="186">
        <f t="shared" ref="M14" si="0">SUM(M15:M18)</f>
        <v>127729210</v>
      </c>
      <c r="N14" s="187"/>
      <c r="O14" s="185"/>
      <c r="P14" s="186">
        <f t="shared" ref="P14" si="1">SUM(P15:P18)</f>
        <v>0</v>
      </c>
      <c r="Q14" s="187"/>
      <c r="R14" s="185"/>
      <c r="S14" s="186">
        <f t="shared" ref="S14" si="2">SUM(S15:S18)</f>
        <v>131106380</v>
      </c>
      <c r="T14" s="187"/>
      <c r="U14" s="185"/>
      <c r="V14" s="186">
        <f t="shared" ref="V14" si="3">SUM(V15:V18)</f>
        <v>0</v>
      </c>
      <c r="W14" s="187"/>
      <c r="X14" s="185"/>
      <c r="Y14" s="186">
        <f t="shared" ref="Y14" si="4">SUM(Y15:Y18)</f>
        <v>129397941</v>
      </c>
      <c r="Z14" s="187"/>
      <c r="AA14" s="185"/>
      <c r="AB14" s="186">
        <f t="shared" ref="AB14" si="5">SUM(AB15:AB18)</f>
        <v>130181450</v>
      </c>
      <c r="AC14" s="187"/>
      <c r="AD14" s="185"/>
      <c r="AE14" s="186">
        <f t="shared" ref="AE14" si="6">SUM(AE15:AE18)</f>
        <v>0</v>
      </c>
      <c r="AF14" s="187"/>
      <c r="AG14" s="185"/>
      <c r="AH14" s="186">
        <f t="shared" ref="AH14" si="7">SUM(AH15:AH18)</f>
        <v>131106380</v>
      </c>
      <c r="AI14" s="187"/>
      <c r="AJ14" s="185"/>
      <c r="AK14" s="186">
        <f t="shared" ref="AK14" si="8">SUM(AK15:AK18)</f>
        <v>0</v>
      </c>
      <c r="AL14" s="187"/>
      <c r="AM14" s="185"/>
      <c r="AN14" s="186">
        <f t="shared" ref="AN14" si="9">SUM(AN15:AN18)</f>
        <v>0</v>
      </c>
      <c r="AO14" s="187"/>
      <c r="AP14" s="185"/>
      <c r="AQ14" s="186">
        <f t="shared" ref="AQ14" si="10">SUM(AQ15:AQ18)</f>
        <v>0</v>
      </c>
      <c r="AR14" s="187"/>
      <c r="AS14" s="185"/>
      <c r="AT14" s="186">
        <f t="shared" ref="AT14" si="11">SUM(AT15:AT18)</f>
        <v>130186471</v>
      </c>
      <c r="AU14" s="187"/>
      <c r="AV14" s="185"/>
      <c r="AW14" s="186">
        <f t="shared" ref="AW14" si="12">SUM(AW15:AW18)</f>
        <v>0</v>
      </c>
      <c r="AX14" s="187"/>
      <c r="AY14" s="185"/>
      <c r="AZ14" s="186">
        <f t="shared" ref="AZ14" si="13">SUM(AZ15:AZ18)</f>
        <v>131106380</v>
      </c>
      <c r="BA14" s="187"/>
      <c r="BB14" s="185"/>
      <c r="BC14" s="186">
        <f t="shared" ref="BC14" si="14">SUM(BC15:BC18)</f>
        <v>130404496</v>
      </c>
      <c r="BD14" s="187"/>
      <c r="BE14" s="185"/>
      <c r="BF14" s="186">
        <f t="shared" ref="BF14" si="15">SUM(BF15:BF18)</f>
        <v>131106380</v>
      </c>
      <c r="BG14" s="187"/>
      <c r="BH14" s="185"/>
      <c r="BI14" s="186">
        <f t="shared" ref="BI14" si="16">SUM(BI15:BI18)</f>
        <v>116493988</v>
      </c>
      <c r="BJ14" s="187"/>
      <c r="BK14" s="185"/>
      <c r="BL14" s="186">
        <f t="shared" ref="BL14" si="17">SUM(BL15:BL18)</f>
        <v>128232897</v>
      </c>
      <c r="BM14" s="187"/>
    </row>
    <row r="15" spans="1:66" ht="40.5" customHeight="1" x14ac:dyDescent="0.2">
      <c r="A15" s="11"/>
      <c r="B15" s="158" t="s">
        <v>125</v>
      </c>
      <c r="C15" s="159"/>
      <c r="D15" s="290" t="s">
        <v>153</v>
      </c>
      <c r="E15" s="159" t="s">
        <v>154</v>
      </c>
      <c r="F15" s="301">
        <v>1691.36</v>
      </c>
      <c r="G15" s="301">
        <v>35988</v>
      </c>
      <c r="H15" s="160">
        <f>ROUND(G15*F15,0)</f>
        <v>60868664</v>
      </c>
      <c r="I15" s="304">
        <v>35628</v>
      </c>
      <c r="J15" s="161">
        <f>ROUND($F15*I15,0)</f>
        <v>60259774</v>
      </c>
      <c r="K15" s="162" t="str">
        <f>+IF(I15&gt;0,IF(OR(I15&gt;$G15,ROUND(I15,0)&gt;$G15),"NO VÁLIDA","VÁLIDA"),"NO VÁLIDA")</f>
        <v>VÁLIDA</v>
      </c>
      <c r="L15" s="304">
        <v>35000</v>
      </c>
      <c r="M15" s="161">
        <f t="shared" ref="M15:M17" si="18">ROUND($F15*L15,0)</f>
        <v>59197600</v>
      </c>
      <c r="N15" s="162" t="str">
        <f t="shared" ref="N15:N18" si="19">+IF(L15&gt;0,IF(OR(L15&gt;$G15,ROUND(L15,0)&gt;$G15),"NO VÁLIDA","VÁLIDA"),"NO VÁLIDA")</f>
        <v>VÁLIDA</v>
      </c>
      <c r="O15" s="304"/>
      <c r="P15" s="161">
        <f t="shared" ref="P15:P18" si="20">ROUND($F15*O15,0)</f>
        <v>0</v>
      </c>
      <c r="Q15" s="162" t="str">
        <f t="shared" ref="Q15:Q18" si="21">+IF(O15&gt;0,IF(OR(O15&gt;$G15,ROUND(O15,0)&gt;$G15),"NO VÁLIDA","VÁLIDA"),"NO VÁLIDA")</f>
        <v>NO VÁLIDA</v>
      </c>
      <c r="R15" s="304">
        <v>35988</v>
      </c>
      <c r="S15" s="161">
        <f t="shared" ref="S15:S17" si="22">ROUND($F15*R15,0)</f>
        <v>60868664</v>
      </c>
      <c r="T15" s="162" t="str">
        <f t="shared" ref="T15:T18" si="23">+IF(R15&gt;0,IF(OR(R15&gt;$G15,ROUND(R15,0)&gt;$G15),"NO VÁLIDA","VÁLIDA"),"NO VÁLIDA")</f>
        <v>VÁLIDA</v>
      </c>
      <c r="U15" s="304"/>
      <c r="V15" s="161">
        <f t="shared" ref="V15:V18" si="24">ROUND($F15*U15,0)</f>
        <v>0</v>
      </c>
      <c r="W15" s="162" t="str">
        <f t="shared" ref="W15:W18" si="25">+IF(U15&gt;0,IF(OR(U15&gt;$G15,ROUND(U15,0)&gt;$G15),"NO VÁLIDA","VÁLIDA"),"NO VÁLIDA")</f>
        <v>NO VÁLIDA</v>
      </c>
      <c r="X15" s="304">
        <v>35520</v>
      </c>
      <c r="Y15" s="161">
        <f t="shared" ref="Y15:Y17" si="26">ROUND($F15*X15,0)</f>
        <v>60077107</v>
      </c>
      <c r="Z15" s="162" t="str">
        <f t="shared" ref="Z15:Z18" si="27">+IF(X15&gt;0,IF(OR(X15&gt;$G15,ROUND(X15,0)&gt;$G15),"NO VÁLIDA","VÁLIDA"),"NO VÁLIDA")</f>
        <v>VÁLIDA</v>
      </c>
      <c r="AA15" s="304">
        <v>35736.080000000002</v>
      </c>
      <c r="AB15" s="161">
        <f t="shared" ref="AB15:AB17" si="28">ROUND($F15*AA15,0)</f>
        <v>60442576</v>
      </c>
      <c r="AC15" s="162" t="str">
        <f t="shared" ref="AC15:AC18" si="29">+IF(AA15&gt;0,IF(OR(AA15&gt;$G15,ROUND(AA15,0)&gt;$G15),"NO VÁLIDA","VÁLIDA"),"NO VÁLIDA")</f>
        <v>VÁLIDA</v>
      </c>
      <c r="AD15" s="304"/>
      <c r="AE15" s="161">
        <f t="shared" ref="AE15:AE18" si="30">ROUND($F15*AD15,0)</f>
        <v>0</v>
      </c>
      <c r="AF15" s="162" t="str">
        <f t="shared" ref="AF15:AF18" si="31">+IF(AD15&gt;0,IF(OR(AD15&gt;$G15,ROUND(AD15,0)&gt;$G15),"NO VÁLIDA","VÁLIDA"),"NO VÁLIDA")</f>
        <v>NO VÁLIDA</v>
      </c>
      <c r="AG15" s="304">
        <v>35988</v>
      </c>
      <c r="AH15" s="161">
        <f t="shared" ref="AH15:AH17" si="32">ROUND($F15*AG15,0)</f>
        <v>60868664</v>
      </c>
      <c r="AI15" s="162" t="str">
        <f t="shared" ref="AI15:AI18" si="33">+IF(AG15&gt;0,IF(OR(AG15&gt;$G15,ROUND(AG15,0)&gt;$G15),"NO VÁLIDA","VÁLIDA"),"NO VÁLIDA")</f>
        <v>VÁLIDA</v>
      </c>
      <c r="AJ15" s="304"/>
      <c r="AK15" s="161">
        <f t="shared" ref="AK15:AK18" si="34">ROUND($F15*AJ15,0)</f>
        <v>0</v>
      </c>
      <c r="AL15" s="162" t="str">
        <f t="shared" ref="AL15:AL18" si="35">+IF(AJ15&gt;0,IF(OR(AJ15&gt;$G15,ROUND(AJ15,0)&gt;$G15),"NO VÁLIDA","VÁLIDA"),"NO VÁLIDA")</f>
        <v>NO VÁLIDA</v>
      </c>
      <c r="AM15" s="304"/>
      <c r="AN15" s="161">
        <f t="shared" ref="AN15:AN18" si="36">ROUND($F15*AM15,0)</f>
        <v>0</v>
      </c>
      <c r="AO15" s="162" t="str">
        <f t="shared" ref="AO15:AO18" si="37">+IF(AM15&gt;0,IF(OR(AM15&gt;$G15,ROUND(AM15,0)&gt;$G15),"NO VÁLIDA","VÁLIDA"),"NO VÁLIDA")</f>
        <v>NO VÁLIDA</v>
      </c>
      <c r="AP15" s="304"/>
      <c r="AQ15" s="161">
        <f t="shared" ref="AQ15:AQ18" si="38">ROUND($F15*AP15,0)</f>
        <v>0</v>
      </c>
      <c r="AR15" s="162" t="str">
        <f t="shared" ref="AR15:AR18" si="39">+IF(AP15&gt;0,IF(OR(AP15&gt;$G15,ROUND(AP15,0)&gt;$G15),"NO VÁLIDA","VÁLIDA"),"NO VÁLIDA")</f>
        <v>NO VÁLIDA</v>
      </c>
      <c r="AS15" s="304">
        <v>35684.25</v>
      </c>
      <c r="AT15" s="161">
        <f t="shared" ref="AT15:AT17" si="40">ROUND($F15*AS15,0)</f>
        <v>60354913</v>
      </c>
      <c r="AU15" s="162" t="str">
        <f t="shared" ref="AU15:AU18" si="41">+IF(AS15&gt;0,IF(OR(AS15&gt;$G15,ROUND(AS15,0)&gt;$G15),"NO VÁLIDA","VÁLIDA"),"NO VÁLIDA")</f>
        <v>VÁLIDA</v>
      </c>
      <c r="AV15" s="304"/>
      <c r="AW15" s="161">
        <f t="shared" ref="AW15:AW18" si="42">ROUND($F15*AV15,0)</f>
        <v>0</v>
      </c>
      <c r="AX15" s="162" t="str">
        <f t="shared" ref="AX15:AX18" si="43">+IF(AV15&gt;0,IF(OR(AV15&gt;$G15,ROUND(AV15,0)&gt;$G15),"NO VÁLIDA","VÁLIDA"),"NO VÁLIDA")</f>
        <v>NO VÁLIDA</v>
      </c>
      <c r="AY15" s="304">
        <v>35988</v>
      </c>
      <c r="AZ15" s="161">
        <f t="shared" ref="AZ15:AZ17" si="44">ROUND($F15*AY15,0)</f>
        <v>60868664</v>
      </c>
      <c r="BA15" s="162" t="str">
        <f t="shared" ref="BA15:BA18" si="45">+IF(AY15&gt;0,IF(OR(AY15&gt;$G15,ROUND(AY15,0)&gt;$G15),"NO VÁLIDA","VÁLIDA"),"NO VÁLIDA")</f>
        <v>VÁLIDA</v>
      </c>
      <c r="BB15" s="304">
        <v>35900</v>
      </c>
      <c r="BC15" s="161">
        <f t="shared" ref="BC15:BC17" si="46">ROUND($F15*BB15,0)</f>
        <v>60719824</v>
      </c>
      <c r="BD15" s="162" t="str">
        <f t="shared" ref="BD15:BD18" si="47">+IF(BB15&gt;0,IF(OR(BB15&gt;$G15,ROUND(BB15,0)&gt;$G15),"NO VÁLIDA","VÁLIDA"),"NO VÁLIDA")</f>
        <v>VÁLIDA</v>
      </c>
      <c r="BE15" s="304">
        <v>35988</v>
      </c>
      <c r="BF15" s="161">
        <f t="shared" ref="BF15:BF17" si="48">ROUND($F15*BE15,0)</f>
        <v>60868664</v>
      </c>
      <c r="BG15" s="162" t="str">
        <f t="shared" ref="BG15:BG18" si="49">+IF(BE15&gt;0,IF(OR(BE15&gt;$G15,ROUND(BE15,0)&gt;$G15),"NO VÁLIDA","VÁLIDA"),"NO VÁLIDA")</f>
        <v>VÁLIDA</v>
      </c>
      <c r="BH15" s="304">
        <v>29400</v>
      </c>
      <c r="BI15" s="161">
        <f t="shared" ref="BI15:BI17" si="50">ROUND($F15*BH15,0)</f>
        <v>49725984</v>
      </c>
      <c r="BJ15" s="162" t="str">
        <f t="shared" ref="BJ15:BJ18" si="51">+IF(BH15&gt;0,IF(OR(BH15&gt;$G15,ROUND(BH15,0)&gt;$G15),"NO VÁLIDA","VÁLIDA"),"NO VÁLIDA")</f>
        <v>VÁLIDA</v>
      </c>
      <c r="BK15" s="304">
        <v>35200</v>
      </c>
      <c r="BL15" s="161">
        <f t="shared" ref="BL15:BL17" si="52">ROUND($F15*BK15,0)</f>
        <v>59535872</v>
      </c>
      <c r="BM15" s="162" t="str">
        <f t="shared" ref="BM15:BM18" si="53">+IF(BK15&gt;0,IF(OR(BK15&gt;$G15,ROUND(BK15,0)&gt;$G15),"NO VÁLIDA","VÁLIDA"),"NO VÁLIDA")</f>
        <v>VÁLIDA</v>
      </c>
    </row>
    <row r="16" spans="1:66" ht="30.6" customHeight="1" x14ac:dyDescent="0.2">
      <c r="A16" s="11"/>
      <c r="B16" s="158" t="s">
        <v>126</v>
      </c>
      <c r="C16" s="159"/>
      <c r="D16" s="290" t="s">
        <v>155</v>
      </c>
      <c r="E16" s="159" t="s">
        <v>156</v>
      </c>
      <c r="F16" s="301">
        <v>3843.54</v>
      </c>
      <c r="G16" s="301">
        <v>8379</v>
      </c>
      <c r="H16" s="160">
        <f t="shared" ref="H16:H17" si="54">ROUND(G16*F16,0)</f>
        <v>32205022</v>
      </c>
      <c r="I16" s="304">
        <v>8295</v>
      </c>
      <c r="J16" s="161">
        <f t="shared" ref="J16:J17" si="55">ROUND($F16*I16,0)</f>
        <v>31882164</v>
      </c>
      <c r="K16" s="162" t="str">
        <f t="shared" ref="K16:K18" si="56">+IF(I16&gt;0,IF(OR(I16&gt;$G16,ROUND(I16,0)&gt;$G16),"NO VÁLIDA","VÁLIDA"),"NO VÁLIDA")</f>
        <v>VÁLIDA</v>
      </c>
      <c r="L16" s="304">
        <v>8000</v>
      </c>
      <c r="M16" s="161">
        <f t="shared" si="18"/>
        <v>30748320</v>
      </c>
      <c r="N16" s="162" t="str">
        <f t="shared" si="19"/>
        <v>VÁLIDA</v>
      </c>
      <c r="O16" s="304"/>
      <c r="P16" s="161">
        <f t="shared" si="20"/>
        <v>0</v>
      </c>
      <c r="Q16" s="162" t="str">
        <f t="shared" si="21"/>
        <v>NO VÁLIDA</v>
      </c>
      <c r="R16" s="304">
        <v>8379</v>
      </c>
      <c r="S16" s="161">
        <f t="shared" si="22"/>
        <v>32205022</v>
      </c>
      <c r="T16" s="162" t="str">
        <f t="shared" si="23"/>
        <v>VÁLIDA</v>
      </c>
      <c r="U16" s="304"/>
      <c r="V16" s="161">
        <f t="shared" si="24"/>
        <v>0</v>
      </c>
      <c r="W16" s="162" t="str">
        <f t="shared" si="25"/>
        <v>NO VÁLIDA</v>
      </c>
      <c r="X16" s="304">
        <v>8270</v>
      </c>
      <c r="Y16" s="161">
        <f t="shared" si="26"/>
        <v>31786076</v>
      </c>
      <c r="Z16" s="162" t="str">
        <f t="shared" si="27"/>
        <v>VÁLIDA</v>
      </c>
      <c r="AA16" s="304">
        <v>8320.35</v>
      </c>
      <c r="AB16" s="161">
        <f t="shared" si="28"/>
        <v>31979598</v>
      </c>
      <c r="AC16" s="162" t="str">
        <f t="shared" si="29"/>
        <v>VÁLIDA</v>
      </c>
      <c r="AD16" s="304"/>
      <c r="AE16" s="161">
        <f t="shared" si="30"/>
        <v>0</v>
      </c>
      <c r="AF16" s="162" t="str">
        <f t="shared" si="31"/>
        <v>NO VÁLIDA</v>
      </c>
      <c r="AG16" s="304">
        <v>8379</v>
      </c>
      <c r="AH16" s="161">
        <f t="shared" si="32"/>
        <v>32205022</v>
      </c>
      <c r="AI16" s="162" t="str">
        <f t="shared" si="33"/>
        <v>VÁLIDA</v>
      </c>
      <c r="AJ16" s="304"/>
      <c r="AK16" s="161">
        <f t="shared" si="34"/>
        <v>0</v>
      </c>
      <c r="AL16" s="162" t="str">
        <f t="shared" si="35"/>
        <v>NO VÁLIDA</v>
      </c>
      <c r="AM16" s="304"/>
      <c r="AN16" s="161">
        <f t="shared" si="36"/>
        <v>0</v>
      </c>
      <c r="AO16" s="162" t="str">
        <f t="shared" si="37"/>
        <v>NO VÁLIDA</v>
      </c>
      <c r="AP16" s="304"/>
      <c r="AQ16" s="161">
        <f t="shared" si="38"/>
        <v>0</v>
      </c>
      <c r="AR16" s="162" t="str">
        <f t="shared" si="39"/>
        <v>NO VÁLIDA</v>
      </c>
      <c r="AS16" s="304">
        <v>8311.3700000000008</v>
      </c>
      <c r="AT16" s="161">
        <f t="shared" si="40"/>
        <v>31945083</v>
      </c>
      <c r="AU16" s="162" t="str">
        <f t="shared" si="41"/>
        <v>VÁLIDA</v>
      </c>
      <c r="AV16" s="304"/>
      <c r="AW16" s="161">
        <f t="shared" si="42"/>
        <v>0</v>
      </c>
      <c r="AX16" s="162" t="str">
        <f t="shared" si="43"/>
        <v>NO VÁLIDA</v>
      </c>
      <c r="AY16" s="304">
        <v>8379</v>
      </c>
      <c r="AZ16" s="161">
        <f t="shared" si="44"/>
        <v>32205022</v>
      </c>
      <c r="BA16" s="162" t="str">
        <f t="shared" si="45"/>
        <v>VÁLIDA</v>
      </c>
      <c r="BB16" s="304">
        <v>8300</v>
      </c>
      <c r="BC16" s="161">
        <f t="shared" si="46"/>
        <v>31901382</v>
      </c>
      <c r="BD16" s="162" t="str">
        <f t="shared" si="47"/>
        <v>VÁLIDA</v>
      </c>
      <c r="BE16" s="304">
        <v>8379</v>
      </c>
      <c r="BF16" s="161">
        <f t="shared" si="48"/>
        <v>32205022</v>
      </c>
      <c r="BG16" s="162" t="str">
        <f t="shared" si="49"/>
        <v>VÁLIDA</v>
      </c>
      <c r="BH16" s="304">
        <v>8379</v>
      </c>
      <c r="BI16" s="161">
        <f t="shared" si="50"/>
        <v>32205022</v>
      </c>
      <c r="BJ16" s="162" t="str">
        <f t="shared" si="51"/>
        <v>VÁLIDA</v>
      </c>
      <c r="BK16" s="304">
        <v>8195</v>
      </c>
      <c r="BL16" s="161">
        <f t="shared" si="52"/>
        <v>31497810</v>
      </c>
      <c r="BM16" s="162" t="str">
        <f t="shared" si="53"/>
        <v>VÁLIDA</v>
      </c>
    </row>
    <row r="17" spans="1:65" ht="40.5" customHeight="1" x14ac:dyDescent="0.2">
      <c r="A17" s="11"/>
      <c r="B17" s="158" t="s">
        <v>127</v>
      </c>
      <c r="C17" s="159"/>
      <c r="D17" s="290" t="s">
        <v>157</v>
      </c>
      <c r="E17" s="159" t="s">
        <v>154</v>
      </c>
      <c r="F17" s="301">
        <v>449.27</v>
      </c>
      <c r="G17" s="301">
        <v>60523</v>
      </c>
      <c r="H17" s="160">
        <f t="shared" si="54"/>
        <v>27191168</v>
      </c>
      <c r="I17" s="304">
        <v>59918</v>
      </c>
      <c r="J17" s="161">
        <f t="shared" si="55"/>
        <v>26919360</v>
      </c>
      <c r="K17" s="162" t="str">
        <f t="shared" si="56"/>
        <v>VÁLIDA</v>
      </c>
      <c r="L17" s="304">
        <v>60000</v>
      </c>
      <c r="M17" s="161">
        <f t="shared" si="18"/>
        <v>26956200</v>
      </c>
      <c r="N17" s="162" t="str">
        <f t="shared" si="19"/>
        <v>VÁLIDA</v>
      </c>
      <c r="O17" s="304"/>
      <c r="P17" s="161">
        <f t="shared" si="20"/>
        <v>0</v>
      </c>
      <c r="Q17" s="162" t="str">
        <f t="shared" si="21"/>
        <v>NO VÁLIDA</v>
      </c>
      <c r="R17" s="304">
        <v>60523</v>
      </c>
      <c r="S17" s="161">
        <f t="shared" si="22"/>
        <v>27191168</v>
      </c>
      <c r="T17" s="162" t="str">
        <f t="shared" si="23"/>
        <v>VÁLIDA</v>
      </c>
      <c r="U17" s="304"/>
      <c r="V17" s="161">
        <f t="shared" si="24"/>
        <v>0</v>
      </c>
      <c r="W17" s="162" t="str">
        <f t="shared" si="25"/>
        <v>NO VÁLIDA</v>
      </c>
      <c r="X17" s="304">
        <v>59736</v>
      </c>
      <c r="Y17" s="161">
        <f t="shared" si="26"/>
        <v>26837593</v>
      </c>
      <c r="Z17" s="162" t="str">
        <f t="shared" si="27"/>
        <v>VÁLIDA</v>
      </c>
      <c r="AA17" s="304">
        <v>60099.34</v>
      </c>
      <c r="AB17" s="161">
        <f t="shared" si="28"/>
        <v>27000830</v>
      </c>
      <c r="AC17" s="162" t="str">
        <f t="shared" si="29"/>
        <v>VÁLIDA</v>
      </c>
      <c r="AD17" s="304"/>
      <c r="AE17" s="161">
        <f t="shared" si="30"/>
        <v>0</v>
      </c>
      <c r="AF17" s="162" t="str">
        <f t="shared" si="31"/>
        <v>NO VÁLIDA</v>
      </c>
      <c r="AG17" s="304">
        <v>60523</v>
      </c>
      <c r="AH17" s="161">
        <f t="shared" si="32"/>
        <v>27191168</v>
      </c>
      <c r="AI17" s="162" t="str">
        <f t="shared" si="33"/>
        <v>VÁLIDA</v>
      </c>
      <c r="AJ17" s="304"/>
      <c r="AK17" s="161">
        <f t="shared" si="34"/>
        <v>0</v>
      </c>
      <c r="AL17" s="162" t="str">
        <f t="shared" si="35"/>
        <v>NO VÁLIDA</v>
      </c>
      <c r="AM17" s="304"/>
      <c r="AN17" s="161">
        <f t="shared" si="36"/>
        <v>0</v>
      </c>
      <c r="AO17" s="162" t="str">
        <f t="shared" si="37"/>
        <v>NO VÁLIDA</v>
      </c>
      <c r="AP17" s="304"/>
      <c r="AQ17" s="161">
        <f t="shared" si="38"/>
        <v>0</v>
      </c>
      <c r="AR17" s="162" t="str">
        <f t="shared" si="39"/>
        <v>NO VÁLIDA</v>
      </c>
      <c r="AS17" s="304">
        <v>60416.04</v>
      </c>
      <c r="AT17" s="161">
        <f t="shared" si="40"/>
        <v>27143114</v>
      </c>
      <c r="AU17" s="162" t="str">
        <f t="shared" si="41"/>
        <v>VÁLIDA</v>
      </c>
      <c r="AV17" s="304"/>
      <c r="AW17" s="161">
        <f t="shared" si="42"/>
        <v>0</v>
      </c>
      <c r="AX17" s="162" t="str">
        <f t="shared" si="43"/>
        <v>NO VÁLIDA</v>
      </c>
      <c r="AY17" s="304">
        <v>60523</v>
      </c>
      <c r="AZ17" s="161">
        <f t="shared" si="44"/>
        <v>27191168</v>
      </c>
      <c r="BA17" s="162" t="str">
        <f t="shared" si="45"/>
        <v>VÁLIDA</v>
      </c>
      <c r="BB17" s="304">
        <v>60000</v>
      </c>
      <c r="BC17" s="161">
        <f t="shared" si="46"/>
        <v>26956200</v>
      </c>
      <c r="BD17" s="162" t="str">
        <f t="shared" si="47"/>
        <v>VÁLIDA</v>
      </c>
      <c r="BE17" s="304">
        <v>60523</v>
      </c>
      <c r="BF17" s="161">
        <f t="shared" si="48"/>
        <v>27191168</v>
      </c>
      <c r="BG17" s="162" t="str">
        <f t="shared" si="49"/>
        <v>VÁLIDA</v>
      </c>
      <c r="BH17" s="304">
        <v>52800</v>
      </c>
      <c r="BI17" s="161">
        <f t="shared" si="50"/>
        <v>23721456</v>
      </c>
      <c r="BJ17" s="162" t="str">
        <f t="shared" si="51"/>
        <v>VÁLIDA</v>
      </c>
      <c r="BK17" s="304">
        <v>59198</v>
      </c>
      <c r="BL17" s="161">
        <f t="shared" si="52"/>
        <v>26595885</v>
      </c>
      <c r="BM17" s="162" t="str">
        <f t="shared" si="53"/>
        <v>VÁLIDA</v>
      </c>
    </row>
    <row r="18" spans="1:65" ht="40.5" customHeight="1" thickBot="1" x14ac:dyDescent="0.25">
      <c r="A18" s="11"/>
      <c r="B18" s="158" t="s">
        <v>128</v>
      </c>
      <c r="C18" s="159"/>
      <c r="D18" s="290" t="s">
        <v>158</v>
      </c>
      <c r="E18" s="159" t="s">
        <v>159</v>
      </c>
      <c r="F18" s="301">
        <f>H18/G18</f>
        <v>7218.0632490013313</v>
      </c>
      <c r="G18" s="301">
        <v>1502</v>
      </c>
      <c r="H18" s="160">
        <v>10841531</v>
      </c>
      <c r="I18" s="304">
        <v>1487</v>
      </c>
      <c r="J18" s="313">
        <f>ROUND(7218.06*I18,0)</f>
        <v>10733255</v>
      </c>
      <c r="K18" s="162" t="str">
        <f t="shared" si="56"/>
        <v>VÁLIDA</v>
      </c>
      <c r="L18" s="304">
        <v>1500</v>
      </c>
      <c r="M18" s="313">
        <f>ROUND(7218.06*L18,0)</f>
        <v>10827090</v>
      </c>
      <c r="N18" s="162" t="str">
        <f t="shared" si="19"/>
        <v>VÁLIDA</v>
      </c>
      <c r="O18" s="304"/>
      <c r="P18" s="161">
        <f t="shared" si="20"/>
        <v>0</v>
      </c>
      <c r="Q18" s="162" t="str">
        <f t="shared" si="21"/>
        <v>NO VÁLIDA</v>
      </c>
      <c r="R18" s="304">
        <v>1502</v>
      </c>
      <c r="S18" s="311">
        <f>ROUND(7218.06*R18,0)</f>
        <v>10841526</v>
      </c>
      <c r="T18" s="162" t="str">
        <f t="shared" si="23"/>
        <v>VÁLIDA</v>
      </c>
      <c r="U18" s="304"/>
      <c r="V18" s="161">
        <f t="shared" si="24"/>
        <v>0</v>
      </c>
      <c r="W18" s="162" t="str">
        <f t="shared" si="25"/>
        <v>NO VÁLIDA</v>
      </c>
      <c r="X18" s="304">
        <v>1482</v>
      </c>
      <c r="Y18" s="161">
        <f>ROUND(7218.06*X18,0)</f>
        <v>10697165</v>
      </c>
      <c r="Z18" s="162" t="str">
        <f t="shared" si="27"/>
        <v>VÁLIDA</v>
      </c>
      <c r="AA18" s="304">
        <v>1490.49</v>
      </c>
      <c r="AB18" s="161">
        <f>ROUND(7218.06*AA18,0)</f>
        <v>10758446</v>
      </c>
      <c r="AC18" s="162" t="str">
        <f t="shared" si="29"/>
        <v>VÁLIDA</v>
      </c>
      <c r="AD18" s="304"/>
      <c r="AE18" s="161">
        <f t="shared" si="30"/>
        <v>0</v>
      </c>
      <c r="AF18" s="162" t="str">
        <f t="shared" si="31"/>
        <v>NO VÁLIDA</v>
      </c>
      <c r="AG18" s="304">
        <v>1502</v>
      </c>
      <c r="AH18" s="161">
        <f>ROUND(7218.06*AG18,0)</f>
        <v>10841526</v>
      </c>
      <c r="AI18" s="162" t="str">
        <f t="shared" si="33"/>
        <v>VÁLIDA</v>
      </c>
      <c r="AJ18" s="304"/>
      <c r="AK18" s="161">
        <f t="shared" si="34"/>
        <v>0</v>
      </c>
      <c r="AL18" s="162" t="str">
        <f t="shared" si="35"/>
        <v>NO VÁLIDA</v>
      </c>
      <c r="AM18" s="304"/>
      <c r="AN18" s="161">
        <f t="shared" si="36"/>
        <v>0</v>
      </c>
      <c r="AO18" s="162" t="str">
        <f t="shared" si="37"/>
        <v>NO VÁLIDA</v>
      </c>
      <c r="AP18" s="304"/>
      <c r="AQ18" s="161">
        <f t="shared" si="38"/>
        <v>0</v>
      </c>
      <c r="AR18" s="162" t="str">
        <f t="shared" si="39"/>
        <v>NO VÁLIDA</v>
      </c>
      <c r="AS18" s="304">
        <v>1488.4</v>
      </c>
      <c r="AT18" s="161">
        <f>ROUND(7218.06*AS18,0)</f>
        <v>10743361</v>
      </c>
      <c r="AU18" s="162" t="str">
        <f t="shared" si="41"/>
        <v>VÁLIDA</v>
      </c>
      <c r="AV18" s="304"/>
      <c r="AW18" s="161">
        <f t="shared" si="42"/>
        <v>0</v>
      </c>
      <c r="AX18" s="162" t="str">
        <f t="shared" si="43"/>
        <v>NO VÁLIDA</v>
      </c>
      <c r="AY18" s="304">
        <v>1502</v>
      </c>
      <c r="AZ18" s="161">
        <f>ROUND(7218.06*AY18,0)</f>
        <v>10841526</v>
      </c>
      <c r="BA18" s="162" t="str">
        <f t="shared" si="45"/>
        <v>VÁLIDA</v>
      </c>
      <c r="BB18" s="304">
        <v>1500</v>
      </c>
      <c r="BC18" s="161">
        <f>ROUND(7218.06*BB18,0)</f>
        <v>10827090</v>
      </c>
      <c r="BD18" s="162" t="str">
        <f t="shared" si="47"/>
        <v>VÁLIDA</v>
      </c>
      <c r="BE18" s="304">
        <v>1502</v>
      </c>
      <c r="BF18" s="161">
        <f>ROUND(7218.06*BE18,0)</f>
        <v>10841526</v>
      </c>
      <c r="BG18" s="162" t="str">
        <f t="shared" si="49"/>
        <v>VÁLIDA</v>
      </c>
      <c r="BH18" s="304">
        <v>1502</v>
      </c>
      <c r="BI18" s="161">
        <f>ROUND(7218.06*BH18,0)</f>
        <v>10841526</v>
      </c>
      <c r="BJ18" s="162" t="str">
        <f t="shared" si="51"/>
        <v>VÁLIDA</v>
      </c>
      <c r="BK18" s="304">
        <v>1469</v>
      </c>
      <c r="BL18" s="161">
        <f>ROUND(7218.06*BK18,0)</f>
        <v>10603330</v>
      </c>
      <c r="BM18" s="162" t="str">
        <f t="shared" si="53"/>
        <v>VÁLIDA</v>
      </c>
    </row>
    <row r="19" spans="1:65" ht="20.45" customHeight="1" x14ac:dyDescent="0.2">
      <c r="A19" s="11"/>
      <c r="B19" s="156" t="s">
        <v>119</v>
      </c>
      <c r="C19" s="157"/>
      <c r="D19" s="157"/>
      <c r="E19" s="157"/>
      <c r="F19" s="302"/>
      <c r="G19" s="302"/>
      <c r="H19" s="184">
        <f>SUM(H20:H21)</f>
        <v>77625088</v>
      </c>
      <c r="I19" s="305"/>
      <c r="J19" s="186">
        <f>SUM(J20:J21)</f>
        <v>76848754</v>
      </c>
      <c r="K19" s="187"/>
      <c r="L19" s="305"/>
      <c r="M19" s="186">
        <f t="shared" ref="M19" si="57">SUM(M20:M21)</f>
        <v>77043200</v>
      </c>
      <c r="N19" s="187"/>
      <c r="O19" s="305"/>
      <c r="P19" s="186">
        <f t="shared" ref="P19" si="58">SUM(P20:P21)</f>
        <v>0</v>
      </c>
      <c r="Q19" s="187"/>
      <c r="R19" s="305"/>
      <c r="S19" s="186">
        <f t="shared" ref="S19" si="59">SUM(S20:S21)</f>
        <v>77625088</v>
      </c>
      <c r="T19" s="187"/>
      <c r="U19" s="305"/>
      <c r="V19" s="186">
        <f t="shared" ref="V19" si="60">SUM(V20:V21)</f>
        <v>0</v>
      </c>
      <c r="W19" s="187"/>
      <c r="X19" s="305"/>
      <c r="Y19" s="186">
        <f t="shared" ref="Y19" si="61">SUM(Y20:Y21)</f>
        <v>76615762</v>
      </c>
      <c r="Z19" s="187"/>
      <c r="AA19" s="305"/>
      <c r="AB19" s="186">
        <f t="shared" ref="AB19" si="62">SUM(AB20:AB21)</f>
        <v>77081712</v>
      </c>
      <c r="AC19" s="187"/>
      <c r="AD19" s="305"/>
      <c r="AE19" s="186">
        <f t="shared" ref="AE19" si="63">SUM(AE20:AE21)</f>
        <v>0</v>
      </c>
      <c r="AF19" s="187"/>
      <c r="AG19" s="305"/>
      <c r="AH19" s="186">
        <f t="shared" ref="AH19" si="64">SUM(AH20:AH21)</f>
        <v>77625088</v>
      </c>
      <c r="AI19" s="187"/>
      <c r="AJ19" s="305"/>
      <c r="AK19" s="186">
        <f t="shared" ref="AK19" si="65">SUM(AK20:AK21)</f>
        <v>0</v>
      </c>
      <c r="AL19" s="187"/>
      <c r="AM19" s="305"/>
      <c r="AN19" s="186">
        <f t="shared" ref="AN19" si="66">SUM(AN20:AN21)</f>
        <v>0</v>
      </c>
      <c r="AO19" s="187"/>
      <c r="AP19" s="305"/>
      <c r="AQ19" s="186">
        <f t="shared" ref="AQ19" si="67">SUM(AQ20:AQ21)</f>
        <v>0</v>
      </c>
      <c r="AR19" s="187"/>
      <c r="AS19" s="305"/>
      <c r="AT19" s="186">
        <f t="shared" ref="AT19" si="68">SUM(AT20:AT21)</f>
        <v>76986298</v>
      </c>
      <c r="AU19" s="187"/>
      <c r="AV19" s="305"/>
      <c r="AW19" s="186">
        <f t="shared" ref="AW19" si="69">SUM(AW20:AW21)</f>
        <v>0</v>
      </c>
      <c r="AX19" s="187"/>
      <c r="AY19" s="305"/>
      <c r="AZ19" s="186">
        <f t="shared" ref="AZ19" si="70">SUM(AZ20:AZ21)</f>
        <v>77625088</v>
      </c>
      <c r="BA19" s="187"/>
      <c r="BB19" s="305"/>
      <c r="BC19" s="186">
        <f t="shared" ref="BC19" si="71">SUM(BC20:BC21)</f>
        <v>74368200</v>
      </c>
      <c r="BD19" s="187"/>
      <c r="BE19" s="305"/>
      <c r="BF19" s="186">
        <f t="shared" ref="BF19" si="72">SUM(BF20:BF21)</f>
        <v>77625088</v>
      </c>
      <c r="BG19" s="187"/>
      <c r="BH19" s="305"/>
      <c r="BI19" s="186">
        <f t="shared" ref="BI19" si="73">SUM(BI20:BI21)</f>
        <v>77625088</v>
      </c>
      <c r="BJ19" s="187"/>
      <c r="BK19" s="305"/>
      <c r="BL19" s="186">
        <f t="shared" ref="BL19" si="74">SUM(BL20:BL21)</f>
        <v>75925106</v>
      </c>
      <c r="BM19" s="187"/>
    </row>
    <row r="20" spans="1:65" ht="40.5" customHeight="1" x14ac:dyDescent="0.2">
      <c r="A20" s="11"/>
      <c r="B20" s="158" t="s">
        <v>129</v>
      </c>
      <c r="C20" s="159"/>
      <c r="D20" s="290" t="s">
        <v>160</v>
      </c>
      <c r="E20" s="159" t="s">
        <v>154</v>
      </c>
      <c r="F20" s="301">
        <v>107</v>
      </c>
      <c r="G20" s="301">
        <v>266920</v>
      </c>
      <c r="H20" s="160">
        <f t="shared" ref="H20:H21" si="75">ROUND(G20*F20,0)</f>
        <v>28560440</v>
      </c>
      <c r="I20" s="304">
        <v>264250</v>
      </c>
      <c r="J20" s="161">
        <f t="shared" ref="J20:J21" si="76">ROUND($F20*I20,0)</f>
        <v>28274750</v>
      </c>
      <c r="K20" s="162" t="str">
        <f t="shared" ref="K20:K21" si="77">+IF(I20&gt;0,IF(OR(I20&gt;$G20,ROUND(I20,0)&gt;$G20),"NO VÁLIDA","VÁLIDA"),"NO VÁLIDA")</f>
        <v>VÁLIDA</v>
      </c>
      <c r="L20" s="304">
        <v>265000</v>
      </c>
      <c r="M20" s="161">
        <f t="shared" ref="M20:M21" si="78">ROUND($F20*L20,0)</f>
        <v>28355000</v>
      </c>
      <c r="N20" s="162" t="str">
        <f t="shared" ref="N20:N21" si="79">+IF(L20&gt;0,IF(OR(L20&gt;$G20,ROUND(L20,0)&gt;$G20),"NO VÁLIDA","VÁLIDA"),"NO VÁLIDA")</f>
        <v>VÁLIDA</v>
      </c>
      <c r="O20" s="304"/>
      <c r="P20" s="161">
        <f t="shared" ref="P20:P21" si="80">ROUND($F20*O20,0)</f>
        <v>0</v>
      </c>
      <c r="Q20" s="162" t="str">
        <f t="shared" ref="Q20:Q21" si="81">+IF(O20&gt;0,IF(OR(O20&gt;$G20,ROUND(O20,0)&gt;$G20),"NO VÁLIDA","VÁLIDA"),"NO VÁLIDA")</f>
        <v>NO VÁLIDA</v>
      </c>
      <c r="R20" s="304">
        <v>266920</v>
      </c>
      <c r="S20" s="161">
        <f t="shared" ref="S20:S21" si="82">ROUND($F20*R20,0)</f>
        <v>28560440</v>
      </c>
      <c r="T20" s="162" t="str">
        <f t="shared" ref="T20:T21" si="83">+IF(R20&gt;0,IF(OR(R20&gt;$G20,ROUND(R20,0)&gt;$G20),"NO VÁLIDA","VÁLIDA"),"NO VÁLIDA")</f>
        <v>VÁLIDA</v>
      </c>
      <c r="U20" s="304"/>
      <c r="V20" s="161">
        <f t="shared" ref="V20:V21" si="84">ROUND($F20*U20,0)</f>
        <v>0</v>
      </c>
      <c r="W20" s="162" t="str">
        <f t="shared" ref="W20:W21" si="85">+IF(U20&gt;0,IF(OR(U20&gt;$G20,ROUND(U20,0)&gt;$G20),"NO VÁLIDA","VÁLIDA"),"NO VÁLIDA")</f>
        <v>NO VÁLIDA</v>
      </c>
      <c r="X20" s="304">
        <v>263450</v>
      </c>
      <c r="Y20" s="161">
        <f t="shared" ref="Y20:Y21" si="86">ROUND($F20*X20,0)</f>
        <v>28189150</v>
      </c>
      <c r="Z20" s="162" t="str">
        <f t="shared" ref="Z20:Z21" si="87">+IF(X20&gt;0,IF(OR(X20&gt;$G20,ROUND(X20,0)&gt;$G20),"NO VÁLIDA","VÁLIDA"),"NO VÁLIDA")</f>
        <v>VÁLIDA</v>
      </c>
      <c r="AA20" s="304">
        <v>265051.56</v>
      </c>
      <c r="AB20" s="161">
        <f t="shared" ref="AB20" si="88">ROUND($F20*AA20,0)</f>
        <v>28360517</v>
      </c>
      <c r="AC20" s="162" t="str">
        <f t="shared" ref="AC20:AC21" si="89">+IF(AA20&gt;0,IF(OR(AA20&gt;$G20,ROUND(AA20,0)&gt;$G20),"NO VÁLIDA","VÁLIDA"),"NO VÁLIDA")</f>
        <v>VÁLIDA</v>
      </c>
      <c r="AD20" s="304"/>
      <c r="AE20" s="161">
        <f t="shared" ref="AE20:AE21" si="90">ROUND($F20*AD20,0)</f>
        <v>0</v>
      </c>
      <c r="AF20" s="162" t="str">
        <f t="shared" ref="AF20:AF21" si="91">+IF(AD20&gt;0,IF(OR(AD20&gt;$G20,ROUND(AD20,0)&gt;$G20),"NO VÁLIDA","VÁLIDA"),"NO VÁLIDA")</f>
        <v>NO VÁLIDA</v>
      </c>
      <c r="AG20" s="304">
        <v>266920</v>
      </c>
      <c r="AH20" s="161">
        <f t="shared" ref="AH20:AH21" si="92">ROUND($F20*AG20,0)</f>
        <v>28560440</v>
      </c>
      <c r="AI20" s="162" t="str">
        <f t="shared" ref="AI20:AI21" si="93">+IF(AG20&gt;0,IF(OR(AG20&gt;$G20,ROUND(AG20,0)&gt;$G20),"NO VÁLIDA","VÁLIDA"),"NO VÁLIDA")</f>
        <v>VÁLIDA</v>
      </c>
      <c r="AJ20" s="304"/>
      <c r="AK20" s="161">
        <f t="shared" ref="AK20:AK21" si="94">ROUND($F20*AJ20,0)</f>
        <v>0</v>
      </c>
      <c r="AL20" s="162" t="str">
        <f t="shared" ref="AL20:AL21" si="95">+IF(AJ20&gt;0,IF(OR(AJ20&gt;$G20,ROUND(AJ20,0)&gt;$G20),"NO VÁLIDA","VÁLIDA"),"NO VÁLIDA")</f>
        <v>NO VÁLIDA</v>
      </c>
      <c r="AM20" s="304"/>
      <c r="AN20" s="161">
        <f t="shared" ref="AN20:AN21" si="96">ROUND($F20*AM20,0)</f>
        <v>0</v>
      </c>
      <c r="AO20" s="162" t="str">
        <f t="shared" ref="AO20:AO21" si="97">+IF(AM20&gt;0,IF(OR(AM20&gt;$G20,ROUND(AM20,0)&gt;$G20),"NO VÁLIDA","VÁLIDA"),"NO VÁLIDA")</f>
        <v>NO VÁLIDA</v>
      </c>
      <c r="AP20" s="304"/>
      <c r="AQ20" s="161">
        <f t="shared" ref="AQ20:AQ21" si="98">ROUND($F20*AP20,0)</f>
        <v>0</v>
      </c>
      <c r="AR20" s="162" t="str">
        <f t="shared" ref="AR20:AR21" si="99">+IF(AP20&gt;0,IF(OR(AP20&gt;$G20,ROUND(AP20,0)&gt;$G20),"NO VÁLIDA","VÁLIDA"),"NO VÁLIDA")</f>
        <v>NO VÁLIDA</v>
      </c>
      <c r="AS20" s="304">
        <v>264772.37</v>
      </c>
      <c r="AT20" s="161">
        <f t="shared" ref="AT20:AT21" si="100">ROUND($F20*AS20,0)</f>
        <v>28330644</v>
      </c>
      <c r="AU20" s="162" t="str">
        <f t="shared" ref="AU20:AU21" si="101">+IF(AS20&gt;0,IF(OR(AS20&gt;$G20,ROUND(AS20,0)&gt;$G20),"NO VÁLIDA","VÁLIDA"),"NO VÁLIDA")</f>
        <v>VÁLIDA</v>
      </c>
      <c r="AV20" s="304"/>
      <c r="AW20" s="161">
        <f t="shared" ref="AW20:AW21" si="102">ROUND($F20*AV20,0)</f>
        <v>0</v>
      </c>
      <c r="AX20" s="162" t="str">
        <f t="shared" ref="AX20:AX21" si="103">+IF(AV20&gt;0,IF(OR(AV20&gt;$G20,ROUND(AV20,0)&gt;$G20),"NO VÁLIDA","VÁLIDA"),"NO VÁLIDA")</f>
        <v>NO VÁLIDA</v>
      </c>
      <c r="AY20" s="304">
        <v>266920</v>
      </c>
      <c r="AZ20" s="161">
        <f t="shared" ref="AZ20:AZ21" si="104">ROUND($F20*AY20,0)</f>
        <v>28560440</v>
      </c>
      <c r="BA20" s="162" t="str">
        <f t="shared" ref="BA20:BA21" si="105">+IF(AY20&gt;0,IF(OR(AY20&gt;$G20,ROUND(AY20,0)&gt;$G20),"NO VÁLIDA","VÁLIDA"),"NO VÁLIDA")</f>
        <v>VÁLIDA</v>
      </c>
      <c r="BB20" s="304">
        <v>240000</v>
      </c>
      <c r="BC20" s="161">
        <f t="shared" ref="BC20:BC21" si="106">ROUND($F20*BB20,0)</f>
        <v>25680000</v>
      </c>
      <c r="BD20" s="162" t="str">
        <f t="shared" ref="BD20:BD21" si="107">+IF(BB20&gt;0,IF(OR(BB20&gt;$G20,ROUND(BB20,0)&gt;$G20),"NO VÁLIDA","VÁLIDA"),"NO VÁLIDA")</f>
        <v>VÁLIDA</v>
      </c>
      <c r="BE20" s="304">
        <v>266920</v>
      </c>
      <c r="BF20" s="161">
        <f t="shared" ref="BF20:BF21" si="108">ROUND($F20*BE20,0)</f>
        <v>28560440</v>
      </c>
      <c r="BG20" s="162" t="str">
        <f t="shared" ref="BG20:BG21" si="109">+IF(BE20&gt;0,IF(OR(BE20&gt;$G20,ROUND(BE20,0)&gt;$G20),"NO VÁLIDA","VÁLIDA"),"NO VÁLIDA")</f>
        <v>VÁLIDA</v>
      </c>
      <c r="BH20" s="304">
        <v>266920</v>
      </c>
      <c r="BI20" s="161">
        <f t="shared" ref="BI20:BI21" si="110">ROUND($F20*BH20,0)</f>
        <v>28560440</v>
      </c>
      <c r="BJ20" s="162" t="str">
        <f t="shared" ref="BJ20:BJ21" si="111">+IF(BH20&gt;0,IF(OR(BH20&gt;$G20,ROUND(BH20,0)&gt;$G20),"NO VÁLIDA","VÁLIDA"),"NO VÁLIDA")</f>
        <v>VÁLIDA</v>
      </c>
      <c r="BK20" s="304">
        <v>261074</v>
      </c>
      <c r="BL20" s="161">
        <f t="shared" ref="BL20:BL21" si="112">ROUND($F20*BK20,0)</f>
        <v>27934918</v>
      </c>
      <c r="BM20" s="162" t="str">
        <f t="shared" ref="BM20:BM21" si="113">+IF(BK20&gt;0,IF(OR(BK20&gt;$G20,ROUND(BK20,0)&gt;$G20),"NO VÁLIDA","VÁLIDA"),"NO VÁLIDA")</f>
        <v>VÁLIDA</v>
      </c>
    </row>
    <row r="21" spans="1:65" ht="50.45" customHeight="1" thickBot="1" x14ac:dyDescent="0.25">
      <c r="A21" s="11"/>
      <c r="B21" s="158" t="s">
        <v>130</v>
      </c>
      <c r="C21" s="159"/>
      <c r="D21" s="290" t="s">
        <v>161</v>
      </c>
      <c r="E21" s="159" t="s">
        <v>154</v>
      </c>
      <c r="F21" s="301">
        <v>221.31</v>
      </c>
      <c r="G21" s="301">
        <v>221701</v>
      </c>
      <c r="H21" s="160">
        <f t="shared" si="75"/>
        <v>49064648</v>
      </c>
      <c r="I21" s="304">
        <v>219484</v>
      </c>
      <c r="J21" s="161">
        <f t="shared" si="76"/>
        <v>48574004</v>
      </c>
      <c r="K21" s="162" t="str">
        <f t="shared" si="77"/>
        <v>VÁLIDA</v>
      </c>
      <c r="L21" s="304">
        <v>220000</v>
      </c>
      <c r="M21" s="161">
        <f t="shared" si="78"/>
        <v>48688200</v>
      </c>
      <c r="N21" s="162" t="str">
        <f t="shared" si="79"/>
        <v>VÁLIDA</v>
      </c>
      <c r="O21" s="304"/>
      <c r="P21" s="161">
        <f t="shared" si="80"/>
        <v>0</v>
      </c>
      <c r="Q21" s="162" t="str">
        <f t="shared" si="81"/>
        <v>NO VÁLIDA</v>
      </c>
      <c r="R21" s="304">
        <v>221701</v>
      </c>
      <c r="S21" s="161">
        <f t="shared" si="82"/>
        <v>49064648</v>
      </c>
      <c r="T21" s="162" t="str">
        <f t="shared" si="83"/>
        <v>VÁLIDA</v>
      </c>
      <c r="U21" s="304"/>
      <c r="V21" s="161">
        <f t="shared" si="84"/>
        <v>0</v>
      </c>
      <c r="W21" s="162" t="str">
        <f t="shared" si="85"/>
        <v>NO VÁLIDA</v>
      </c>
      <c r="X21" s="304">
        <v>218818</v>
      </c>
      <c r="Y21" s="161">
        <f t="shared" si="86"/>
        <v>48426612</v>
      </c>
      <c r="Z21" s="162" t="str">
        <f t="shared" si="87"/>
        <v>VÁLIDA</v>
      </c>
      <c r="AA21" s="304">
        <v>220149.09</v>
      </c>
      <c r="AB21" s="161">
        <f>ROUND(221.31*AA21,0)</f>
        <v>48721195</v>
      </c>
      <c r="AC21" s="162" t="str">
        <f t="shared" si="89"/>
        <v>VÁLIDA</v>
      </c>
      <c r="AD21" s="304"/>
      <c r="AE21" s="161">
        <f t="shared" si="90"/>
        <v>0</v>
      </c>
      <c r="AF21" s="162" t="str">
        <f t="shared" si="91"/>
        <v>NO VÁLIDA</v>
      </c>
      <c r="AG21" s="304">
        <v>221701</v>
      </c>
      <c r="AH21" s="161">
        <f t="shared" si="92"/>
        <v>49064648</v>
      </c>
      <c r="AI21" s="162" t="str">
        <f t="shared" si="93"/>
        <v>VÁLIDA</v>
      </c>
      <c r="AJ21" s="304"/>
      <c r="AK21" s="161">
        <f t="shared" si="94"/>
        <v>0</v>
      </c>
      <c r="AL21" s="162" t="str">
        <f t="shared" si="95"/>
        <v>NO VÁLIDA</v>
      </c>
      <c r="AM21" s="304"/>
      <c r="AN21" s="161">
        <f t="shared" si="96"/>
        <v>0</v>
      </c>
      <c r="AO21" s="162" t="str">
        <f t="shared" si="97"/>
        <v>NO VÁLIDA</v>
      </c>
      <c r="AP21" s="304"/>
      <c r="AQ21" s="161">
        <f t="shared" si="98"/>
        <v>0</v>
      </c>
      <c r="AR21" s="162" t="str">
        <f t="shared" si="99"/>
        <v>NO VÁLIDA</v>
      </c>
      <c r="AS21" s="304">
        <v>219852.94</v>
      </c>
      <c r="AT21" s="161">
        <f t="shared" si="100"/>
        <v>48655654</v>
      </c>
      <c r="AU21" s="162" t="str">
        <f t="shared" si="101"/>
        <v>VÁLIDA</v>
      </c>
      <c r="AV21" s="304"/>
      <c r="AW21" s="161">
        <f t="shared" si="102"/>
        <v>0</v>
      </c>
      <c r="AX21" s="162" t="str">
        <f t="shared" si="103"/>
        <v>NO VÁLIDA</v>
      </c>
      <c r="AY21" s="304">
        <v>221701</v>
      </c>
      <c r="AZ21" s="161">
        <f t="shared" si="104"/>
        <v>49064648</v>
      </c>
      <c r="BA21" s="162" t="str">
        <f t="shared" si="105"/>
        <v>VÁLIDA</v>
      </c>
      <c r="BB21" s="304">
        <v>220000</v>
      </c>
      <c r="BC21" s="161">
        <f t="shared" si="106"/>
        <v>48688200</v>
      </c>
      <c r="BD21" s="162" t="str">
        <f t="shared" si="107"/>
        <v>VÁLIDA</v>
      </c>
      <c r="BE21" s="304">
        <v>221701</v>
      </c>
      <c r="BF21" s="161">
        <f t="shared" si="108"/>
        <v>49064648</v>
      </c>
      <c r="BG21" s="162" t="str">
        <f t="shared" si="109"/>
        <v>VÁLIDA</v>
      </c>
      <c r="BH21" s="304">
        <v>221701</v>
      </c>
      <c r="BI21" s="161">
        <f t="shared" si="110"/>
        <v>49064648</v>
      </c>
      <c r="BJ21" s="162" t="str">
        <f t="shared" si="111"/>
        <v>VÁLIDA</v>
      </c>
      <c r="BK21" s="304">
        <v>216846</v>
      </c>
      <c r="BL21" s="161">
        <f t="shared" si="112"/>
        <v>47990188</v>
      </c>
      <c r="BM21" s="162" t="str">
        <f t="shared" si="113"/>
        <v>VÁLIDA</v>
      </c>
    </row>
    <row r="22" spans="1:65" ht="22.5" customHeight="1" x14ac:dyDescent="0.2">
      <c r="A22" s="11"/>
      <c r="B22" s="156" t="s">
        <v>120</v>
      </c>
      <c r="C22" s="157"/>
      <c r="D22" s="157"/>
      <c r="E22" s="157"/>
      <c r="F22" s="302"/>
      <c r="G22" s="302"/>
      <c r="H22" s="184">
        <f>SUM(H23:H26)</f>
        <v>731656032</v>
      </c>
      <c r="I22" s="305"/>
      <c r="J22" s="186">
        <f>SUM(J23:J26)</f>
        <v>724339566</v>
      </c>
      <c r="K22" s="187"/>
      <c r="L22" s="305"/>
      <c r="M22" s="186">
        <f t="shared" ref="M22" si="114">SUM(M23:M26)</f>
        <v>716130900</v>
      </c>
      <c r="N22" s="187"/>
      <c r="O22" s="305"/>
      <c r="P22" s="186">
        <f t="shared" ref="P22" si="115">SUM(P23:P26)</f>
        <v>0</v>
      </c>
      <c r="Q22" s="187"/>
      <c r="R22" s="305"/>
      <c r="S22" s="186">
        <f t="shared" ref="S22" si="116">SUM(S23:S26)</f>
        <v>719744832</v>
      </c>
      <c r="T22" s="187"/>
      <c r="U22" s="305"/>
      <c r="V22" s="186">
        <f t="shared" ref="V22" si="117">SUM(V23:V26)</f>
        <v>0</v>
      </c>
      <c r="W22" s="187"/>
      <c r="X22" s="305"/>
      <c r="Y22" s="186">
        <f t="shared" ref="Y22" si="118">SUM(Y23:Y26)</f>
        <v>722143037</v>
      </c>
      <c r="Z22" s="187"/>
      <c r="AA22" s="305"/>
      <c r="AB22" s="186">
        <f t="shared" ref="AB22" si="119">SUM(AB23:AB26)</f>
        <v>726534445</v>
      </c>
      <c r="AC22" s="187"/>
      <c r="AD22" s="305"/>
      <c r="AE22" s="186">
        <f t="shared" ref="AE22" si="120">SUM(AE23:AE26)</f>
        <v>0</v>
      </c>
      <c r="AF22" s="187"/>
      <c r="AG22" s="305"/>
      <c r="AH22" s="186">
        <f t="shared" ref="AH22" si="121">SUM(AH23:AH26)</f>
        <v>715977206</v>
      </c>
      <c r="AI22" s="187"/>
      <c r="AJ22" s="305"/>
      <c r="AK22" s="186">
        <f t="shared" ref="AK22" si="122">SUM(AK23:AK26)</f>
        <v>0</v>
      </c>
      <c r="AL22" s="187"/>
      <c r="AM22" s="305"/>
      <c r="AN22" s="186">
        <f t="shared" ref="AN22" si="123">SUM(AN23:AN26)</f>
        <v>0</v>
      </c>
      <c r="AO22" s="187"/>
      <c r="AP22" s="305"/>
      <c r="AQ22" s="186">
        <f t="shared" ref="AQ22" si="124">SUM(AQ23:AQ26)</f>
        <v>0</v>
      </c>
      <c r="AR22" s="187"/>
      <c r="AS22" s="305"/>
      <c r="AT22" s="186">
        <f t="shared" ref="AT22" si="125">SUM(AT23:AT26)</f>
        <v>725127010</v>
      </c>
      <c r="AU22" s="187"/>
      <c r="AV22" s="305"/>
      <c r="AW22" s="186">
        <f t="shared" ref="AW22" si="126">SUM(AW23:AW26)</f>
        <v>0</v>
      </c>
      <c r="AX22" s="187"/>
      <c r="AY22" s="305"/>
      <c r="AZ22" s="186">
        <f t="shared" ref="AZ22" si="127">SUM(AZ23:AZ26)</f>
        <v>713821846</v>
      </c>
      <c r="BA22" s="187"/>
      <c r="BB22" s="305"/>
      <c r="BC22" s="186">
        <f t="shared" ref="BC22" si="128">SUM(BC23:BC26)</f>
        <v>721459980</v>
      </c>
      <c r="BD22" s="187"/>
      <c r="BE22" s="305"/>
      <c r="BF22" s="186">
        <f t="shared" ref="BF22" si="129">SUM(BF23:BF26)</f>
        <v>717594435</v>
      </c>
      <c r="BG22" s="187"/>
      <c r="BH22" s="305"/>
      <c r="BI22" s="186">
        <f t="shared" ref="BI22" si="130">SUM(BI23:BI26)</f>
        <v>731656032</v>
      </c>
      <c r="BJ22" s="187"/>
      <c r="BK22" s="305"/>
      <c r="BL22" s="186">
        <f t="shared" ref="BL22" si="131">SUM(BL23:BL26)</f>
        <v>715632212</v>
      </c>
      <c r="BM22" s="187"/>
    </row>
    <row r="23" spans="1:65" ht="50.45" customHeight="1" x14ac:dyDescent="0.2">
      <c r="A23" s="11"/>
      <c r="B23" s="158" t="s">
        <v>131</v>
      </c>
      <c r="C23" s="159"/>
      <c r="D23" s="290" t="s">
        <v>162</v>
      </c>
      <c r="E23" s="159" t="s">
        <v>154</v>
      </c>
      <c r="F23" s="301">
        <v>668.44</v>
      </c>
      <c r="G23" s="301">
        <v>86876</v>
      </c>
      <c r="H23" s="160">
        <f t="shared" ref="H23:H26" si="132">ROUND(G23*F23,0)</f>
        <v>58071393</v>
      </c>
      <c r="I23" s="304">
        <v>86007</v>
      </c>
      <c r="J23" s="161">
        <f t="shared" ref="J23:J26" si="133">ROUND($F23*I23,0)</f>
        <v>57490519</v>
      </c>
      <c r="K23" s="162" t="str">
        <f t="shared" ref="K23:K26" si="134">+IF(I23&gt;0,IF(OR(I23&gt;$G23,ROUND(I23,0)&gt;$G23),"NO VÁLIDA","VÁLIDA"),"NO VÁLIDA")</f>
        <v>VÁLIDA</v>
      </c>
      <c r="L23" s="304">
        <v>85000</v>
      </c>
      <c r="M23" s="161">
        <f t="shared" ref="M23:M26" si="135">ROUND($F23*L23,0)</f>
        <v>56817400</v>
      </c>
      <c r="N23" s="162" t="str">
        <f t="shared" ref="N23:N26" si="136">+IF(L23&gt;0,IF(OR(L23&gt;$G23,ROUND(L23,0)&gt;$G23),"NO VÁLIDA","VÁLIDA"),"NO VÁLIDA")</f>
        <v>VÁLIDA</v>
      </c>
      <c r="O23" s="304"/>
      <c r="P23" s="161">
        <f t="shared" ref="P23:P26" si="137">ROUND($F23*O23,0)</f>
        <v>0</v>
      </c>
      <c r="Q23" s="162" t="str">
        <f t="shared" ref="Q23:Q26" si="138">+IF(O23&gt;0,IF(OR(O23&gt;$G23,ROUND(O23,0)&gt;$G23),"NO VÁLIDA","VÁLIDA"),"NO VÁLIDA")</f>
        <v>NO VÁLIDA</v>
      </c>
      <c r="R23" s="304">
        <v>86876</v>
      </c>
      <c r="S23" s="161">
        <f t="shared" ref="S23:S26" si="139">ROUND($F23*R23,0)</f>
        <v>58071393</v>
      </c>
      <c r="T23" s="162" t="str">
        <f t="shared" ref="T23:T26" si="140">+IF(R23&gt;0,IF(OR(R23&gt;$G23,ROUND(R23,0)&gt;$G23),"NO VÁLIDA","VÁLIDA"),"NO VÁLIDA")</f>
        <v>VÁLIDA</v>
      </c>
      <c r="U23" s="304"/>
      <c r="V23" s="161">
        <f t="shared" ref="V23:V26" si="141">ROUND($F23*U23,0)</f>
        <v>0</v>
      </c>
      <c r="W23" s="162" t="str">
        <f t="shared" ref="W23:W26" si="142">+IF(U23&gt;0,IF(OR(U23&gt;$G23,ROUND(U23,0)&gt;$G23),"NO VÁLIDA","VÁLIDA"),"NO VÁLIDA")</f>
        <v>NO VÁLIDA</v>
      </c>
      <c r="X23" s="304">
        <v>85746</v>
      </c>
      <c r="Y23" s="161">
        <f t="shared" ref="Y23:Y26" si="143">ROUND($F23*X23,0)</f>
        <v>57316056</v>
      </c>
      <c r="Z23" s="162" t="str">
        <f t="shared" ref="Z23:Z26" si="144">+IF(X23&gt;0,IF(OR(X23&gt;$G23,ROUND(X23,0)&gt;$G23),"NO VÁLIDA","VÁLIDA"),"NO VÁLIDA")</f>
        <v>VÁLIDA</v>
      </c>
      <c r="AA23" s="304">
        <v>86267.87</v>
      </c>
      <c r="AB23" s="161">
        <f t="shared" ref="AB23:AB26" si="145">ROUND($F23*AA23,0)</f>
        <v>57664895</v>
      </c>
      <c r="AC23" s="162" t="str">
        <f t="shared" ref="AC23:AC26" si="146">+IF(AA23&gt;0,IF(OR(AA23&gt;$G23,ROUND(AA23,0)&gt;$G23),"NO VÁLIDA","VÁLIDA"),"NO VÁLIDA")</f>
        <v>VÁLIDA</v>
      </c>
      <c r="AD23" s="304"/>
      <c r="AE23" s="161">
        <f t="shared" ref="AE23:AE26" si="147">ROUND($F23*AD23,0)</f>
        <v>0</v>
      </c>
      <c r="AF23" s="162" t="str">
        <f t="shared" ref="AF23:AF26" si="148">+IF(AD23&gt;0,IF(OR(AD23&gt;$G23,ROUND(AD23,0)&gt;$G23),"NO VÁLIDA","VÁLIDA"),"NO VÁLIDA")</f>
        <v>NO VÁLIDA</v>
      </c>
      <c r="AG23" s="304">
        <v>86876</v>
      </c>
      <c r="AH23" s="161">
        <f t="shared" ref="AH23:AH26" si="149">ROUND($F23*AG23,0)</f>
        <v>58071393</v>
      </c>
      <c r="AI23" s="162" t="str">
        <f t="shared" ref="AI23:AI26" si="150">+IF(AG23&gt;0,IF(OR(AG23&gt;$G23,ROUND(AG23,0)&gt;$G23),"NO VÁLIDA","VÁLIDA"),"NO VÁLIDA")</f>
        <v>VÁLIDA</v>
      </c>
      <c r="AJ23" s="304"/>
      <c r="AK23" s="161">
        <f t="shared" ref="AK23:AK26" si="151">ROUND($F23*AJ23,0)</f>
        <v>0</v>
      </c>
      <c r="AL23" s="162" t="str">
        <f t="shared" ref="AL23:AL26" si="152">+IF(AJ23&gt;0,IF(OR(AJ23&gt;$G23,ROUND(AJ23,0)&gt;$G23),"NO VÁLIDA","VÁLIDA"),"NO VÁLIDA")</f>
        <v>NO VÁLIDA</v>
      </c>
      <c r="AM23" s="304"/>
      <c r="AN23" s="161">
        <f t="shared" ref="AN23:AN26" si="153">ROUND($F23*AM23,0)</f>
        <v>0</v>
      </c>
      <c r="AO23" s="162" t="str">
        <f t="shared" ref="AO23:AO26" si="154">+IF(AM23&gt;0,IF(OR(AM23&gt;$G23,ROUND(AM23,0)&gt;$G23),"NO VÁLIDA","VÁLIDA"),"NO VÁLIDA")</f>
        <v>NO VÁLIDA</v>
      </c>
      <c r="AP23" s="304"/>
      <c r="AQ23" s="161">
        <f t="shared" ref="AQ23:AQ26" si="155">ROUND($F23*AP23,0)</f>
        <v>0</v>
      </c>
      <c r="AR23" s="162" t="str">
        <f t="shared" ref="AR23:AR26" si="156">+IF(AP23&gt;0,IF(OR(AP23&gt;$G23,ROUND(AP23,0)&gt;$G23),"NO VÁLIDA","VÁLIDA"),"NO VÁLIDA")</f>
        <v>NO VÁLIDA</v>
      </c>
      <c r="AS23" s="304">
        <v>86094.66</v>
      </c>
      <c r="AT23" s="161">
        <f t="shared" ref="AT23:AT26" si="157">ROUND($F23*AS23,0)</f>
        <v>57549115</v>
      </c>
      <c r="AU23" s="162" t="str">
        <f t="shared" ref="AU23:AU26" si="158">+IF(AS23&gt;0,IF(OR(AS23&gt;$G23,ROUND(AS23,0)&gt;$G23),"NO VÁLIDA","VÁLIDA"),"NO VÁLIDA")</f>
        <v>VÁLIDA</v>
      </c>
      <c r="AV23" s="304"/>
      <c r="AW23" s="161">
        <f t="shared" ref="AW23:AW26" si="159">ROUND($F23*AV23,0)</f>
        <v>0</v>
      </c>
      <c r="AX23" s="162" t="str">
        <f t="shared" ref="AX23:AX26" si="160">+IF(AV23&gt;0,IF(OR(AV23&gt;$G23,ROUND(AV23,0)&gt;$G23),"NO VÁLIDA","VÁLIDA"),"NO VÁLIDA")</f>
        <v>NO VÁLIDA</v>
      </c>
      <c r="AY23" s="304">
        <v>86876</v>
      </c>
      <c r="AZ23" s="161">
        <f t="shared" ref="AZ23:AZ26" si="161">ROUND($F23*AY23,0)</f>
        <v>58071393</v>
      </c>
      <c r="BA23" s="162" t="str">
        <f t="shared" ref="BA23:BA26" si="162">+IF(AY23&gt;0,IF(OR(AY23&gt;$G23,ROUND(AY23,0)&gt;$G23),"NO VÁLIDA","VÁLIDA"),"NO VÁLIDA")</f>
        <v>VÁLIDA</v>
      </c>
      <c r="BB23" s="304">
        <v>80000</v>
      </c>
      <c r="BC23" s="161">
        <f t="shared" ref="BC23:BC26" si="163">ROUND($F23*BB23,0)</f>
        <v>53475200</v>
      </c>
      <c r="BD23" s="162" t="str">
        <f t="shared" ref="BD23:BD26" si="164">+IF(BB23&gt;0,IF(OR(BB23&gt;$G23,ROUND(BB23,0)&gt;$G23),"NO VÁLIDA","VÁLIDA"),"NO VÁLIDA")</f>
        <v>VÁLIDA</v>
      </c>
      <c r="BE23" s="304">
        <v>86876</v>
      </c>
      <c r="BF23" s="161">
        <f t="shared" ref="BF23:BF26" si="165">ROUND($F23*BE23,0)</f>
        <v>58071393</v>
      </c>
      <c r="BG23" s="162" t="str">
        <f t="shared" ref="BG23:BG26" si="166">+IF(BE23&gt;0,IF(OR(BE23&gt;$G23,ROUND(BE23,0)&gt;$G23),"NO VÁLIDA","VÁLIDA"),"NO VÁLIDA")</f>
        <v>VÁLIDA</v>
      </c>
      <c r="BH23" s="304">
        <v>86876</v>
      </c>
      <c r="BI23" s="161">
        <f t="shared" ref="BI23:BI26" si="167">ROUND($F23*BH23,0)</f>
        <v>58071393</v>
      </c>
      <c r="BJ23" s="162" t="str">
        <f t="shared" ref="BJ23:BJ26" si="168">+IF(BH23&gt;0,IF(OR(BH23&gt;$G23,ROUND(BH23,0)&gt;$G23),"NO VÁLIDA","VÁLIDA"),"NO VÁLIDA")</f>
        <v>VÁLIDA</v>
      </c>
      <c r="BK23" s="304">
        <v>84973</v>
      </c>
      <c r="BL23" s="161">
        <f t="shared" ref="BL23:BL26" si="169">ROUND($F23*BK23,0)</f>
        <v>56799352</v>
      </c>
      <c r="BM23" s="162" t="str">
        <f t="shared" ref="BM23:BM26" si="170">+IF(BK23&gt;0,IF(OR(BK23&gt;$G23,ROUND(BK23,0)&gt;$G23),"NO VÁLIDA","VÁLIDA"),"NO VÁLIDA")</f>
        <v>VÁLIDA</v>
      </c>
    </row>
    <row r="24" spans="1:65" ht="70.5" customHeight="1" x14ac:dyDescent="0.2">
      <c r="A24" s="11"/>
      <c r="B24" s="158" t="s">
        <v>132</v>
      </c>
      <c r="C24" s="159"/>
      <c r="D24" s="290" t="s">
        <v>186</v>
      </c>
      <c r="E24" s="159" t="s">
        <v>154</v>
      </c>
      <c r="F24" s="301">
        <v>709</v>
      </c>
      <c r="G24" s="301">
        <v>929433</v>
      </c>
      <c r="H24" s="160">
        <f t="shared" si="132"/>
        <v>658967997</v>
      </c>
      <c r="I24" s="304">
        <v>920140</v>
      </c>
      <c r="J24" s="161">
        <f t="shared" si="133"/>
        <v>652379260</v>
      </c>
      <c r="K24" s="162" t="str">
        <f t="shared" si="134"/>
        <v>VÁLIDA</v>
      </c>
      <c r="L24" s="304">
        <v>910000</v>
      </c>
      <c r="M24" s="161">
        <f t="shared" si="135"/>
        <v>645190000</v>
      </c>
      <c r="N24" s="162" t="str">
        <f t="shared" si="136"/>
        <v>VÁLIDA</v>
      </c>
      <c r="O24" s="304"/>
      <c r="P24" s="161">
        <f t="shared" si="137"/>
        <v>0</v>
      </c>
      <c r="Q24" s="162" t="str">
        <f t="shared" si="138"/>
        <v>NO VÁLIDA</v>
      </c>
      <c r="R24" s="304">
        <v>912633</v>
      </c>
      <c r="S24" s="161">
        <f t="shared" si="139"/>
        <v>647056797</v>
      </c>
      <c r="T24" s="162" t="str">
        <f t="shared" si="140"/>
        <v>VÁLIDA</v>
      </c>
      <c r="U24" s="304"/>
      <c r="V24" s="161">
        <f t="shared" si="141"/>
        <v>0</v>
      </c>
      <c r="W24" s="162" t="str">
        <f t="shared" si="142"/>
        <v>NO VÁLIDA</v>
      </c>
      <c r="X24" s="304">
        <v>917350</v>
      </c>
      <c r="Y24" s="161">
        <f t="shared" si="143"/>
        <v>650401150</v>
      </c>
      <c r="Z24" s="162" t="str">
        <f t="shared" si="144"/>
        <v>VÁLIDA</v>
      </c>
      <c r="AA24" s="304">
        <v>922926.97</v>
      </c>
      <c r="AB24" s="161">
        <f t="shared" si="145"/>
        <v>654355222</v>
      </c>
      <c r="AC24" s="162" t="str">
        <f t="shared" si="146"/>
        <v>VÁLIDA</v>
      </c>
      <c r="AD24" s="304"/>
      <c r="AE24" s="161">
        <f t="shared" si="147"/>
        <v>0</v>
      </c>
      <c r="AF24" s="162" t="str">
        <f t="shared" si="148"/>
        <v>NO VÁLIDA</v>
      </c>
      <c r="AG24" s="304">
        <v>907319</v>
      </c>
      <c r="AH24" s="161">
        <f t="shared" si="149"/>
        <v>643289171</v>
      </c>
      <c r="AI24" s="162" t="str">
        <f t="shared" si="150"/>
        <v>VÁLIDA</v>
      </c>
      <c r="AJ24" s="304"/>
      <c r="AK24" s="161">
        <f t="shared" si="151"/>
        <v>0</v>
      </c>
      <c r="AL24" s="162" t="str">
        <f t="shared" si="152"/>
        <v>NO VÁLIDA</v>
      </c>
      <c r="AM24" s="304"/>
      <c r="AN24" s="161">
        <f t="shared" si="153"/>
        <v>0</v>
      </c>
      <c r="AO24" s="162" t="str">
        <f t="shared" si="154"/>
        <v>NO VÁLIDA</v>
      </c>
      <c r="AP24" s="304"/>
      <c r="AQ24" s="161">
        <f t="shared" si="155"/>
        <v>0</v>
      </c>
      <c r="AR24" s="162" t="str">
        <f t="shared" si="156"/>
        <v>NO VÁLIDA</v>
      </c>
      <c r="AS24" s="304">
        <v>921112.42</v>
      </c>
      <c r="AT24" s="161">
        <f t="shared" si="157"/>
        <v>653068706</v>
      </c>
      <c r="AU24" s="162" t="str">
        <f t="shared" si="158"/>
        <v>VÁLIDA</v>
      </c>
      <c r="AV24" s="304"/>
      <c r="AW24" s="161">
        <f t="shared" si="159"/>
        <v>0</v>
      </c>
      <c r="AX24" s="162" t="str">
        <f t="shared" si="160"/>
        <v>NO VÁLIDA</v>
      </c>
      <c r="AY24" s="304">
        <v>904279</v>
      </c>
      <c r="AZ24" s="161">
        <f t="shared" si="161"/>
        <v>641133811</v>
      </c>
      <c r="BA24" s="162" t="str">
        <f t="shared" si="162"/>
        <v>VÁLIDA</v>
      </c>
      <c r="BB24" s="304">
        <v>922000</v>
      </c>
      <c r="BC24" s="161">
        <f t="shared" si="163"/>
        <v>653698000</v>
      </c>
      <c r="BD24" s="162" t="str">
        <f t="shared" si="164"/>
        <v>VÁLIDA</v>
      </c>
      <c r="BE24" s="304">
        <v>909600</v>
      </c>
      <c r="BF24" s="161">
        <f t="shared" si="165"/>
        <v>644906400</v>
      </c>
      <c r="BG24" s="162" t="str">
        <f t="shared" si="166"/>
        <v>VÁLIDA</v>
      </c>
      <c r="BH24" s="304">
        <v>929433</v>
      </c>
      <c r="BI24" s="161">
        <f t="shared" si="167"/>
        <v>658967997</v>
      </c>
      <c r="BJ24" s="162" t="str">
        <f t="shared" si="168"/>
        <v>VÁLIDA</v>
      </c>
      <c r="BK24" s="304">
        <v>909078</v>
      </c>
      <c r="BL24" s="161">
        <f t="shared" si="169"/>
        <v>644536302</v>
      </c>
      <c r="BM24" s="162" t="str">
        <f t="shared" si="170"/>
        <v>VÁLIDA</v>
      </c>
    </row>
    <row r="25" spans="1:65" ht="36" customHeight="1" x14ac:dyDescent="0.2">
      <c r="A25" s="11"/>
      <c r="B25" s="158" t="s">
        <v>134</v>
      </c>
      <c r="C25" s="159"/>
      <c r="D25" s="290" t="s">
        <v>163</v>
      </c>
      <c r="E25" s="159" t="s">
        <v>164</v>
      </c>
      <c r="F25" s="301">
        <v>1057</v>
      </c>
      <c r="G25" s="301">
        <v>9775</v>
      </c>
      <c r="H25" s="160">
        <f t="shared" si="132"/>
        <v>10332175</v>
      </c>
      <c r="I25" s="304">
        <v>9677</v>
      </c>
      <c r="J25" s="161">
        <f t="shared" si="133"/>
        <v>10228589</v>
      </c>
      <c r="K25" s="162" t="str">
        <f t="shared" si="134"/>
        <v>VÁLIDA</v>
      </c>
      <c r="L25" s="304">
        <v>9500</v>
      </c>
      <c r="M25" s="161">
        <f t="shared" si="135"/>
        <v>10041500</v>
      </c>
      <c r="N25" s="162" t="str">
        <f t="shared" si="136"/>
        <v>VÁLIDA</v>
      </c>
      <c r="O25" s="304"/>
      <c r="P25" s="161">
        <f t="shared" si="137"/>
        <v>0</v>
      </c>
      <c r="Q25" s="162" t="str">
        <f t="shared" si="138"/>
        <v>NO VÁLIDA</v>
      </c>
      <c r="R25" s="304">
        <v>9775</v>
      </c>
      <c r="S25" s="161">
        <f t="shared" si="139"/>
        <v>10332175</v>
      </c>
      <c r="T25" s="162" t="str">
        <f t="shared" si="140"/>
        <v>VÁLIDA</v>
      </c>
      <c r="U25" s="304"/>
      <c r="V25" s="161">
        <f t="shared" si="141"/>
        <v>0</v>
      </c>
      <c r="W25" s="162" t="str">
        <f t="shared" si="142"/>
        <v>NO VÁLIDA</v>
      </c>
      <c r="X25" s="304">
        <v>9647</v>
      </c>
      <c r="Y25" s="161">
        <f t="shared" si="143"/>
        <v>10196879</v>
      </c>
      <c r="Z25" s="162" t="str">
        <f t="shared" si="144"/>
        <v>VÁLIDA</v>
      </c>
      <c r="AA25" s="304">
        <v>9706.58</v>
      </c>
      <c r="AB25" s="161">
        <f t="shared" si="145"/>
        <v>10259855</v>
      </c>
      <c r="AC25" s="162" t="str">
        <f t="shared" si="146"/>
        <v>VÁLIDA</v>
      </c>
      <c r="AD25" s="304"/>
      <c r="AE25" s="161">
        <f t="shared" si="147"/>
        <v>0</v>
      </c>
      <c r="AF25" s="162" t="str">
        <f t="shared" si="148"/>
        <v>NO VÁLIDA</v>
      </c>
      <c r="AG25" s="304">
        <v>9775</v>
      </c>
      <c r="AH25" s="161">
        <f t="shared" si="149"/>
        <v>10332175</v>
      </c>
      <c r="AI25" s="162" t="str">
        <f t="shared" si="150"/>
        <v>VÁLIDA</v>
      </c>
      <c r="AJ25" s="304"/>
      <c r="AK25" s="161">
        <f t="shared" si="151"/>
        <v>0</v>
      </c>
      <c r="AL25" s="162" t="str">
        <f t="shared" si="152"/>
        <v>NO VÁLIDA</v>
      </c>
      <c r="AM25" s="304"/>
      <c r="AN25" s="161">
        <f t="shared" si="153"/>
        <v>0</v>
      </c>
      <c r="AO25" s="162" t="str">
        <f t="shared" si="154"/>
        <v>NO VÁLIDA</v>
      </c>
      <c r="AP25" s="304"/>
      <c r="AQ25" s="161">
        <f t="shared" si="155"/>
        <v>0</v>
      </c>
      <c r="AR25" s="162" t="str">
        <f t="shared" si="156"/>
        <v>NO VÁLIDA</v>
      </c>
      <c r="AS25" s="304">
        <v>9712.64</v>
      </c>
      <c r="AT25" s="161">
        <f t="shared" si="157"/>
        <v>10266260</v>
      </c>
      <c r="AU25" s="162" t="str">
        <f t="shared" si="158"/>
        <v>VÁLIDA</v>
      </c>
      <c r="AV25" s="304"/>
      <c r="AW25" s="161">
        <f t="shared" si="159"/>
        <v>0</v>
      </c>
      <c r="AX25" s="162" t="str">
        <f t="shared" si="160"/>
        <v>NO VÁLIDA</v>
      </c>
      <c r="AY25" s="304">
        <v>9775</v>
      </c>
      <c r="AZ25" s="161">
        <f t="shared" si="161"/>
        <v>10332175</v>
      </c>
      <c r="BA25" s="162" t="str">
        <f t="shared" si="162"/>
        <v>VÁLIDA</v>
      </c>
      <c r="BB25" s="304">
        <v>9500</v>
      </c>
      <c r="BC25" s="161">
        <f t="shared" si="163"/>
        <v>10041500</v>
      </c>
      <c r="BD25" s="162" t="str">
        <f t="shared" si="164"/>
        <v>VÁLIDA</v>
      </c>
      <c r="BE25" s="304">
        <v>9775</v>
      </c>
      <c r="BF25" s="161">
        <f t="shared" si="165"/>
        <v>10332175</v>
      </c>
      <c r="BG25" s="162" t="str">
        <f t="shared" si="166"/>
        <v>VÁLIDA</v>
      </c>
      <c r="BH25" s="304">
        <v>9775</v>
      </c>
      <c r="BI25" s="161">
        <f t="shared" si="167"/>
        <v>10332175</v>
      </c>
      <c r="BJ25" s="162" t="str">
        <f t="shared" si="168"/>
        <v>VÁLIDA</v>
      </c>
      <c r="BK25" s="304">
        <v>9561</v>
      </c>
      <c r="BL25" s="161">
        <f t="shared" si="169"/>
        <v>10105977</v>
      </c>
      <c r="BM25" s="162" t="str">
        <f t="shared" si="170"/>
        <v>VÁLIDA</v>
      </c>
    </row>
    <row r="26" spans="1:65" ht="40.5" customHeight="1" thickBot="1" x14ac:dyDescent="0.25">
      <c r="A26" s="11"/>
      <c r="B26" s="158" t="s">
        <v>133</v>
      </c>
      <c r="C26" s="159"/>
      <c r="D26" s="290" t="s">
        <v>165</v>
      </c>
      <c r="E26" s="159" t="s">
        <v>166</v>
      </c>
      <c r="F26" s="301">
        <v>816.4</v>
      </c>
      <c r="G26" s="301">
        <v>5248</v>
      </c>
      <c r="H26" s="160">
        <f t="shared" si="132"/>
        <v>4284467</v>
      </c>
      <c r="I26" s="304">
        <v>5195</v>
      </c>
      <c r="J26" s="161">
        <f t="shared" si="133"/>
        <v>4241198</v>
      </c>
      <c r="K26" s="162" t="str">
        <f t="shared" si="134"/>
        <v>VÁLIDA</v>
      </c>
      <c r="L26" s="304">
        <v>5000</v>
      </c>
      <c r="M26" s="161">
        <f t="shared" si="135"/>
        <v>4082000</v>
      </c>
      <c r="N26" s="162" t="str">
        <f t="shared" si="136"/>
        <v>VÁLIDA</v>
      </c>
      <c r="O26" s="304"/>
      <c r="P26" s="161">
        <f t="shared" si="137"/>
        <v>0</v>
      </c>
      <c r="Q26" s="162" t="str">
        <f t="shared" si="138"/>
        <v>NO VÁLIDA</v>
      </c>
      <c r="R26" s="304">
        <v>5248</v>
      </c>
      <c r="S26" s="161">
        <f t="shared" si="139"/>
        <v>4284467</v>
      </c>
      <c r="T26" s="162" t="str">
        <f t="shared" si="140"/>
        <v>VÁLIDA</v>
      </c>
      <c r="U26" s="304"/>
      <c r="V26" s="161">
        <f t="shared" si="141"/>
        <v>0</v>
      </c>
      <c r="W26" s="162" t="str">
        <f t="shared" si="142"/>
        <v>NO VÁLIDA</v>
      </c>
      <c r="X26" s="304">
        <v>5180</v>
      </c>
      <c r="Y26" s="161">
        <f t="shared" si="143"/>
        <v>4228952</v>
      </c>
      <c r="Z26" s="162" t="str">
        <f t="shared" si="144"/>
        <v>VÁLIDA</v>
      </c>
      <c r="AA26" s="304">
        <v>5211.26</v>
      </c>
      <c r="AB26" s="161">
        <f t="shared" si="145"/>
        <v>4254473</v>
      </c>
      <c r="AC26" s="162" t="str">
        <f t="shared" si="146"/>
        <v>VÁLIDA</v>
      </c>
      <c r="AD26" s="304"/>
      <c r="AE26" s="161">
        <f t="shared" si="147"/>
        <v>0</v>
      </c>
      <c r="AF26" s="162" t="str">
        <f t="shared" si="148"/>
        <v>NO VÁLIDA</v>
      </c>
      <c r="AG26" s="304">
        <v>5248</v>
      </c>
      <c r="AH26" s="161">
        <f t="shared" si="149"/>
        <v>4284467</v>
      </c>
      <c r="AI26" s="162" t="str">
        <f t="shared" si="150"/>
        <v>VÁLIDA</v>
      </c>
      <c r="AJ26" s="304"/>
      <c r="AK26" s="161">
        <f t="shared" si="151"/>
        <v>0</v>
      </c>
      <c r="AL26" s="162" t="str">
        <f t="shared" si="152"/>
        <v>NO VÁLIDA</v>
      </c>
      <c r="AM26" s="304"/>
      <c r="AN26" s="161">
        <f t="shared" si="153"/>
        <v>0</v>
      </c>
      <c r="AO26" s="162" t="str">
        <f t="shared" si="154"/>
        <v>NO VÁLIDA</v>
      </c>
      <c r="AP26" s="304"/>
      <c r="AQ26" s="161">
        <f t="shared" si="155"/>
        <v>0</v>
      </c>
      <c r="AR26" s="162" t="str">
        <f t="shared" si="156"/>
        <v>NO VÁLIDA</v>
      </c>
      <c r="AS26" s="304">
        <v>5197.12</v>
      </c>
      <c r="AT26" s="161">
        <f t="shared" si="157"/>
        <v>4242929</v>
      </c>
      <c r="AU26" s="162" t="str">
        <f t="shared" si="158"/>
        <v>VÁLIDA</v>
      </c>
      <c r="AV26" s="304"/>
      <c r="AW26" s="161">
        <f t="shared" si="159"/>
        <v>0</v>
      </c>
      <c r="AX26" s="162" t="str">
        <f t="shared" si="160"/>
        <v>NO VÁLIDA</v>
      </c>
      <c r="AY26" s="304">
        <v>5248</v>
      </c>
      <c r="AZ26" s="161">
        <f t="shared" si="161"/>
        <v>4284467</v>
      </c>
      <c r="BA26" s="162" t="str">
        <f t="shared" si="162"/>
        <v>VÁLIDA</v>
      </c>
      <c r="BB26" s="304">
        <v>5200</v>
      </c>
      <c r="BC26" s="161">
        <f t="shared" si="163"/>
        <v>4245280</v>
      </c>
      <c r="BD26" s="162" t="str">
        <f t="shared" si="164"/>
        <v>VÁLIDA</v>
      </c>
      <c r="BE26" s="304">
        <v>5248</v>
      </c>
      <c r="BF26" s="161">
        <f t="shared" si="165"/>
        <v>4284467</v>
      </c>
      <c r="BG26" s="162" t="str">
        <f t="shared" si="166"/>
        <v>VÁLIDA</v>
      </c>
      <c r="BH26" s="304">
        <v>5248</v>
      </c>
      <c r="BI26" s="161">
        <f t="shared" si="167"/>
        <v>4284467</v>
      </c>
      <c r="BJ26" s="162" t="str">
        <f t="shared" si="168"/>
        <v>VÁLIDA</v>
      </c>
      <c r="BK26" s="304">
        <v>5133</v>
      </c>
      <c r="BL26" s="161">
        <f t="shared" si="169"/>
        <v>4190581</v>
      </c>
      <c r="BM26" s="162" t="str">
        <f t="shared" si="170"/>
        <v>VÁLIDA</v>
      </c>
    </row>
    <row r="27" spans="1:65" ht="22.5" customHeight="1" x14ac:dyDescent="0.2">
      <c r="A27" s="11"/>
      <c r="B27" s="156" t="s">
        <v>121</v>
      </c>
      <c r="C27" s="157"/>
      <c r="D27" s="157"/>
      <c r="E27" s="157"/>
      <c r="F27" s="302"/>
      <c r="G27" s="302"/>
      <c r="H27" s="184">
        <f>SUM(H28:H35)</f>
        <v>259346857</v>
      </c>
      <c r="I27" s="305"/>
      <c r="J27" s="186">
        <f>SUM(J28:J35)</f>
        <v>256753150</v>
      </c>
      <c r="K27" s="187"/>
      <c r="L27" s="305"/>
      <c r="M27" s="186">
        <f t="shared" ref="M27" si="171">SUM(M28:M35)</f>
        <v>252626200</v>
      </c>
      <c r="N27" s="187"/>
      <c r="O27" s="305"/>
      <c r="P27" s="186">
        <f t="shared" ref="P27" si="172">SUM(P28:P35)</f>
        <v>0</v>
      </c>
      <c r="Q27" s="187"/>
      <c r="R27" s="305"/>
      <c r="S27" s="186">
        <f t="shared" ref="S27" si="173">SUM(S28:S35)</f>
        <v>258842675</v>
      </c>
      <c r="T27" s="187"/>
      <c r="U27" s="305"/>
      <c r="V27" s="186">
        <f t="shared" ref="V27" si="174">SUM(V28:V35)</f>
        <v>0</v>
      </c>
      <c r="W27" s="187"/>
      <c r="X27" s="305"/>
      <c r="Y27" s="186">
        <f t="shared" ref="Y27" si="175">SUM(Y28:Y35)</f>
        <v>255976010</v>
      </c>
      <c r="Z27" s="187"/>
      <c r="AA27" s="305"/>
      <c r="AB27" s="186">
        <f t="shared" ref="AB27" si="176">SUM(AB28:AB35)</f>
        <v>257530326</v>
      </c>
      <c r="AC27" s="187"/>
      <c r="AD27" s="305"/>
      <c r="AE27" s="186">
        <f t="shared" ref="AE27" si="177">SUM(AE28:AE35)</f>
        <v>0</v>
      </c>
      <c r="AF27" s="187"/>
      <c r="AG27" s="305"/>
      <c r="AH27" s="186">
        <f t="shared" ref="AH27" si="178">SUM(AH28:AH35)</f>
        <v>259347280</v>
      </c>
      <c r="AI27" s="187"/>
      <c r="AJ27" s="305"/>
      <c r="AK27" s="186">
        <f t="shared" ref="AK27" si="179">SUM(AK28:AK35)</f>
        <v>0</v>
      </c>
      <c r="AL27" s="187"/>
      <c r="AM27" s="305"/>
      <c r="AN27" s="186">
        <f t="shared" ref="AN27" si="180">SUM(AN28:AN35)</f>
        <v>0</v>
      </c>
      <c r="AO27" s="187"/>
      <c r="AP27" s="305"/>
      <c r="AQ27" s="186">
        <f t="shared" ref="AQ27" si="181">SUM(AQ28:AQ35)</f>
        <v>0</v>
      </c>
      <c r="AR27" s="187"/>
      <c r="AS27" s="305"/>
      <c r="AT27" s="186">
        <f t="shared" ref="AT27" si="182">SUM(AT28:AT35)</f>
        <v>256227809</v>
      </c>
      <c r="AU27" s="187"/>
      <c r="AV27" s="305"/>
      <c r="AW27" s="186">
        <f t="shared" ref="AW27" si="183">SUM(AW28:AW35)</f>
        <v>0</v>
      </c>
      <c r="AX27" s="187"/>
      <c r="AY27" s="305"/>
      <c r="AZ27" s="186">
        <f t="shared" ref="AZ27" si="184">SUM(AZ28:AZ35)</f>
        <v>259347280</v>
      </c>
      <c r="BA27" s="187"/>
      <c r="BB27" s="305"/>
      <c r="BC27" s="186">
        <f t="shared" ref="BC27" si="185">SUM(BC28:BC35)</f>
        <v>248083020</v>
      </c>
      <c r="BD27" s="187"/>
      <c r="BE27" s="305"/>
      <c r="BF27" s="186">
        <f t="shared" ref="BF27" si="186">SUM(BF28:BF35)</f>
        <v>259347280</v>
      </c>
      <c r="BG27" s="187"/>
      <c r="BH27" s="305"/>
      <c r="BI27" s="186">
        <f t="shared" ref="BI27" si="187">SUM(BI28:BI35)</f>
        <v>258861597</v>
      </c>
      <c r="BJ27" s="187"/>
      <c r="BK27" s="305"/>
      <c r="BL27" s="186">
        <f t="shared" ref="BL27" si="188">SUM(BL28:BL35)</f>
        <v>253668707</v>
      </c>
      <c r="BM27" s="187"/>
    </row>
    <row r="28" spans="1:65" ht="60.6" customHeight="1" x14ac:dyDescent="0.2">
      <c r="A28" s="11"/>
      <c r="B28" s="158" t="s">
        <v>135</v>
      </c>
      <c r="C28" s="159"/>
      <c r="D28" s="290" t="s">
        <v>167</v>
      </c>
      <c r="E28" s="159" t="s">
        <v>164</v>
      </c>
      <c r="F28" s="301">
        <v>772.9</v>
      </c>
      <c r="G28" s="301">
        <v>77084</v>
      </c>
      <c r="H28" s="160">
        <f t="shared" ref="H28:H33" si="189">ROUND(G28*F28,0)</f>
        <v>59578224</v>
      </c>
      <c r="I28" s="304">
        <v>76313</v>
      </c>
      <c r="J28" s="161">
        <f t="shared" ref="J28:J33" si="190">ROUND($F28*I28,0)</f>
        <v>58982318</v>
      </c>
      <c r="K28" s="162" t="str">
        <f t="shared" ref="K28:K35" si="191">+IF(I28&gt;0,IF(OR(I28&gt;$G28,ROUND(I28,0)&gt;$G28),"NO VÁLIDA","VÁLIDA"),"NO VÁLIDA")</f>
        <v>VÁLIDA</v>
      </c>
      <c r="L28" s="304">
        <v>75000</v>
      </c>
      <c r="M28" s="161">
        <f t="shared" ref="M28:M33" si="192">ROUND($F28*L28,0)</f>
        <v>57967500</v>
      </c>
      <c r="N28" s="162" t="str">
        <f t="shared" ref="N28:N35" si="193">+IF(L28&gt;0,IF(OR(L28&gt;$G28,ROUND(L28,0)&gt;$G28),"NO VÁLIDA","VÁLIDA"),"NO VÁLIDA")</f>
        <v>VÁLIDA</v>
      </c>
      <c r="O28" s="304"/>
      <c r="P28" s="161">
        <f t="shared" ref="P28:P35" si="194">ROUND($F28*O28,0)</f>
        <v>0</v>
      </c>
      <c r="Q28" s="162" t="str">
        <f t="shared" ref="Q28:Q35" si="195">+IF(O28&gt;0,IF(OR(O28&gt;$G28,ROUND(O28,0)&gt;$G28),"NO VÁLIDA","VÁLIDA"),"NO VÁLIDA")</f>
        <v>NO VÁLIDA</v>
      </c>
      <c r="R28" s="304">
        <v>77084</v>
      </c>
      <c r="S28" s="161">
        <f t="shared" ref="S28:S33" si="196">ROUND($F28*R28,0)</f>
        <v>59578224</v>
      </c>
      <c r="T28" s="162" t="str">
        <f t="shared" ref="T28:T35" si="197">+IF(R28&gt;0,IF(OR(R28&gt;$G28,ROUND(R28,0)&gt;$G28),"NO VÁLIDA","VÁLIDA"),"NO VÁLIDA")</f>
        <v>VÁLIDA</v>
      </c>
      <c r="U28" s="304"/>
      <c r="V28" s="161">
        <f t="shared" ref="V28:V35" si="198">ROUND($F28*U28,0)</f>
        <v>0</v>
      </c>
      <c r="W28" s="162" t="str">
        <f t="shared" ref="W28:W35" si="199">+IF(U28&gt;0,IF(OR(U28&gt;$G28,ROUND(U28,0)&gt;$G28),"NO VÁLIDA","VÁLIDA"),"NO VÁLIDA")</f>
        <v>NO VÁLIDA</v>
      </c>
      <c r="X28" s="304">
        <v>76082</v>
      </c>
      <c r="Y28" s="161">
        <f t="shared" ref="Y28:Y33" si="200">ROUND($F28*X28,0)</f>
        <v>58803778</v>
      </c>
      <c r="Z28" s="162" t="str">
        <f t="shared" ref="Z28:Z35" si="201">+IF(X28&gt;0,IF(OR(X28&gt;$G28,ROUND(X28,0)&gt;$G28),"NO VÁLIDA","VÁLIDA"),"NO VÁLIDA")</f>
        <v>VÁLIDA</v>
      </c>
      <c r="AA28" s="304">
        <v>76544.41</v>
      </c>
      <c r="AB28" s="161">
        <f t="shared" ref="AB28:AB33" si="202">ROUND($F28*AA28,0)</f>
        <v>59161174</v>
      </c>
      <c r="AC28" s="162" t="str">
        <f t="shared" ref="AC28:AC35" si="203">+IF(AA28&gt;0,IF(OR(AA28&gt;$G28,ROUND(AA28,0)&gt;$G28),"NO VÁLIDA","VÁLIDA"),"NO VÁLIDA")</f>
        <v>VÁLIDA</v>
      </c>
      <c r="AD28" s="304"/>
      <c r="AE28" s="161">
        <f t="shared" ref="AE28:AE35" si="204">ROUND($F28*AD28,0)</f>
        <v>0</v>
      </c>
      <c r="AF28" s="162" t="str">
        <f t="shared" ref="AF28:AF35" si="205">+IF(AD28&gt;0,IF(OR(AD28&gt;$G28,ROUND(AD28,0)&gt;$G28),"NO VÁLIDA","VÁLIDA"),"NO VÁLIDA")</f>
        <v>NO VÁLIDA</v>
      </c>
      <c r="AG28" s="304">
        <v>77084</v>
      </c>
      <c r="AH28" s="161">
        <f t="shared" ref="AH28:AH33" si="206">ROUND($F28*AG28,0)</f>
        <v>59578224</v>
      </c>
      <c r="AI28" s="162" t="str">
        <f t="shared" ref="AI28:AI35" si="207">+IF(AG28&gt;0,IF(OR(AG28&gt;$G28,ROUND(AG28,0)&gt;$G28),"NO VÁLIDA","VÁLIDA"),"NO VÁLIDA")</f>
        <v>VÁLIDA</v>
      </c>
      <c r="AJ28" s="304"/>
      <c r="AK28" s="161">
        <f t="shared" ref="AK28:AK35" si="208">ROUND($F28*AJ28,0)</f>
        <v>0</v>
      </c>
      <c r="AL28" s="162" t="str">
        <f t="shared" ref="AL28:AL35" si="209">+IF(AJ28&gt;0,IF(OR(AJ28&gt;$G28,ROUND(AJ28,0)&gt;$G28),"NO VÁLIDA","VÁLIDA"),"NO VÁLIDA")</f>
        <v>NO VÁLIDA</v>
      </c>
      <c r="AM28" s="304"/>
      <c r="AN28" s="161">
        <f t="shared" ref="AN28:AN35" si="210">ROUND($F28*AM28,0)</f>
        <v>0</v>
      </c>
      <c r="AO28" s="162" t="str">
        <f t="shared" ref="AO28:AO35" si="211">+IF(AM28&gt;0,IF(OR(AM28&gt;$G28,ROUND(AM28,0)&gt;$G28),"NO VÁLIDA","VÁLIDA"),"NO VÁLIDA")</f>
        <v>NO VÁLIDA</v>
      </c>
      <c r="AP28" s="304"/>
      <c r="AQ28" s="161">
        <f t="shared" ref="AQ28:AQ35" si="212">ROUND($F28*AP28,0)</f>
        <v>0</v>
      </c>
      <c r="AR28" s="162" t="str">
        <f t="shared" ref="AR28:AR35" si="213">+IF(AP28&gt;0,IF(OR(AP28&gt;$G28,ROUND(AP28,0)&gt;$G28),"NO VÁLIDA","VÁLIDA"),"NO VÁLIDA")</f>
        <v>NO VÁLIDA</v>
      </c>
      <c r="AS28" s="304">
        <v>76482.25</v>
      </c>
      <c r="AT28" s="161">
        <f t="shared" ref="AT28:AT33" si="214">ROUND($F28*AS28,0)</f>
        <v>59113131</v>
      </c>
      <c r="AU28" s="162" t="str">
        <f t="shared" ref="AU28:AU35" si="215">+IF(AS28&gt;0,IF(OR(AS28&gt;$G28,ROUND(AS28,0)&gt;$G28),"NO VÁLIDA","VÁLIDA"),"NO VÁLIDA")</f>
        <v>VÁLIDA</v>
      </c>
      <c r="AV28" s="304"/>
      <c r="AW28" s="161">
        <f t="shared" ref="AW28:AW35" si="216">ROUND($F28*AV28,0)</f>
        <v>0</v>
      </c>
      <c r="AX28" s="162" t="str">
        <f t="shared" ref="AX28:AX35" si="217">+IF(AV28&gt;0,IF(OR(AV28&gt;$G28,ROUND(AV28,0)&gt;$G28),"NO VÁLIDA","VÁLIDA"),"NO VÁLIDA")</f>
        <v>NO VÁLIDA</v>
      </c>
      <c r="AY28" s="304">
        <v>77084</v>
      </c>
      <c r="AZ28" s="161">
        <f t="shared" ref="AZ28:AZ33" si="218">ROUND($F28*AY28,0)</f>
        <v>59578224</v>
      </c>
      <c r="BA28" s="162" t="str">
        <f t="shared" ref="BA28:BA35" si="219">+IF(AY28&gt;0,IF(OR(AY28&gt;$G28,ROUND(AY28,0)&gt;$G28),"NO VÁLIDA","VÁLIDA"),"NO VÁLIDA")</f>
        <v>VÁLIDA</v>
      </c>
      <c r="BB28" s="304">
        <v>77000</v>
      </c>
      <c r="BC28" s="161">
        <f t="shared" ref="BC28:BC33" si="220">ROUND($F28*BB28,0)</f>
        <v>59513300</v>
      </c>
      <c r="BD28" s="162" t="str">
        <f t="shared" ref="BD28:BD35" si="221">+IF(BB28&gt;0,IF(OR(BB28&gt;$G28,ROUND(BB28,0)&gt;$G28),"NO VÁLIDA","VÁLIDA"),"NO VÁLIDA")</f>
        <v>VÁLIDA</v>
      </c>
      <c r="BE28" s="304">
        <v>77084</v>
      </c>
      <c r="BF28" s="161">
        <f t="shared" ref="BF28:BF33" si="222">ROUND($F28*BE28,0)</f>
        <v>59578224</v>
      </c>
      <c r="BG28" s="162" t="str">
        <f t="shared" ref="BG28:BG35" si="223">+IF(BE28&gt;0,IF(OR(BE28&gt;$G28,ROUND(BE28,0)&gt;$G28),"NO VÁLIDA","VÁLIDA"),"NO VÁLIDA")</f>
        <v>VÁLIDA</v>
      </c>
      <c r="BH28" s="304">
        <v>77084</v>
      </c>
      <c r="BI28" s="161">
        <f t="shared" ref="BI28:BI33" si="224">ROUND($F28*BH28,0)</f>
        <v>59578224</v>
      </c>
      <c r="BJ28" s="162" t="str">
        <f t="shared" ref="BJ28:BJ35" si="225">+IF(BH28&gt;0,IF(OR(BH28&gt;$G28,ROUND(BH28,0)&gt;$G28),"NO VÁLIDA","VÁLIDA"),"NO VÁLIDA")</f>
        <v>VÁLIDA</v>
      </c>
      <c r="BK28" s="304">
        <v>75396</v>
      </c>
      <c r="BL28" s="161">
        <f t="shared" ref="BL28:BL33" si="226">ROUND($F28*BK28,0)</f>
        <v>58273568</v>
      </c>
      <c r="BM28" s="162" t="str">
        <f t="shared" ref="BM28:BM35" si="227">+IF(BK28&gt;0,IF(OR(BK28&gt;$G28,ROUND(BK28,0)&gt;$G28),"NO VÁLIDA","VÁLIDA"),"NO VÁLIDA")</f>
        <v>VÁLIDA</v>
      </c>
    </row>
    <row r="29" spans="1:65" ht="40.5" customHeight="1" x14ac:dyDescent="0.2">
      <c r="A29" s="11"/>
      <c r="B29" s="158" t="s">
        <v>136</v>
      </c>
      <c r="C29" s="159"/>
      <c r="D29" s="290" t="s">
        <v>168</v>
      </c>
      <c r="E29" s="159" t="s">
        <v>164</v>
      </c>
      <c r="F29" s="301">
        <v>87</v>
      </c>
      <c r="G29" s="301">
        <v>57953</v>
      </c>
      <c r="H29" s="160">
        <f t="shared" ref="H29:H32" si="228">ROUND(G29*F29,0)</f>
        <v>5041911</v>
      </c>
      <c r="I29" s="304">
        <v>57373</v>
      </c>
      <c r="J29" s="161">
        <f t="shared" ref="J29:J32" si="229">ROUND($F29*I29,0)</f>
        <v>4991451</v>
      </c>
      <c r="K29" s="162" t="str">
        <f t="shared" si="191"/>
        <v>VÁLIDA</v>
      </c>
      <c r="L29" s="304">
        <v>57000</v>
      </c>
      <c r="M29" s="161">
        <f t="shared" si="192"/>
        <v>4959000</v>
      </c>
      <c r="N29" s="162" t="str">
        <f t="shared" si="193"/>
        <v>VÁLIDA</v>
      </c>
      <c r="O29" s="304"/>
      <c r="P29" s="161">
        <f t="shared" si="194"/>
        <v>0</v>
      </c>
      <c r="Q29" s="162" t="str">
        <f t="shared" si="195"/>
        <v>NO VÁLIDA</v>
      </c>
      <c r="R29" s="304">
        <v>57953</v>
      </c>
      <c r="S29" s="161">
        <f t="shared" si="196"/>
        <v>5041911</v>
      </c>
      <c r="T29" s="162" t="str">
        <f t="shared" si="197"/>
        <v>VÁLIDA</v>
      </c>
      <c r="U29" s="304"/>
      <c r="V29" s="161">
        <f t="shared" si="198"/>
        <v>0</v>
      </c>
      <c r="W29" s="162" t="str">
        <f t="shared" si="199"/>
        <v>NO VÁLIDA</v>
      </c>
      <c r="X29" s="304">
        <v>57200</v>
      </c>
      <c r="Y29" s="161">
        <f t="shared" si="200"/>
        <v>4976400</v>
      </c>
      <c r="Z29" s="162" t="str">
        <f t="shared" si="201"/>
        <v>VÁLIDA</v>
      </c>
      <c r="AA29" s="304">
        <v>57547.33</v>
      </c>
      <c r="AB29" s="161">
        <f t="shared" si="202"/>
        <v>5006618</v>
      </c>
      <c r="AC29" s="162" t="str">
        <f t="shared" si="203"/>
        <v>VÁLIDA</v>
      </c>
      <c r="AD29" s="304"/>
      <c r="AE29" s="161">
        <f t="shared" si="204"/>
        <v>0</v>
      </c>
      <c r="AF29" s="162" t="str">
        <f t="shared" si="205"/>
        <v>NO VÁLIDA</v>
      </c>
      <c r="AG29" s="304">
        <v>57953</v>
      </c>
      <c r="AH29" s="161">
        <f t="shared" si="206"/>
        <v>5041911</v>
      </c>
      <c r="AI29" s="162" t="str">
        <f t="shared" si="207"/>
        <v>VÁLIDA</v>
      </c>
      <c r="AJ29" s="304"/>
      <c r="AK29" s="161">
        <f t="shared" si="208"/>
        <v>0</v>
      </c>
      <c r="AL29" s="162" t="str">
        <f t="shared" si="209"/>
        <v>NO VÁLIDA</v>
      </c>
      <c r="AM29" s="304"/>
      <c r="AN29" s="161">
        <f t="shared" si="210"/>
        <v>0</v>
      </c>
      <c r="AO29" s="162" t="str">
        <f t="shared" si="211"/>
        <v>NO VÁLIDA</v>
      </c>
      <c r="AP29" s="304"/>
      <c r="AQ29" s="161">
        <f t="shared" si="212"/>
        <v>0</v>
      </c>
      <c r="AR29" s="162" t="str">
        <f t="shared" si="213"/>
        <v>NO VÁLIDA</v>
      </c>
      <c r="AS29" s="304">
        <v>57523.18</v>
      </c>
      <c r="AT29" s="161">
        <f t="shared" si="214"/>
        <v>5004517</v>
      </c>
      <c r="AU29" s="162" t="str">
        <f t="shared" si="215"/>
        <v>VÁLIDA</v>
      </c>
      <c r="AV29" s="304"/>
      <c r="AW29" s="161">
        <f t="shared" si="216"/>
        <v>0</v>
      </c>
      <c r="AX29" s="162" t="str">
        <f t="shared" si="217"/>
        <v>NO VÁLIDA</v>
      </c>
      <c r="AY29" s="304">
        <v>57953</v>
      </c>
      <c r="AZ29" s="161">
        <f t="shared" si="218"/>
        <v>5041911</v>
      </c>
      <c r="BA29" s="162" t="str">
        <f t="shared" si="219"/>
        <v>VÁLIDA</v>
      </c>
      <c r="BB29" s="304">
        <v>57000</v>
      </c>
      <c r="BC29" s="161">
        <f t="shared" si="220"/>
        <v>4959000</v>
      </c>
      <c r="BD29" s="162" t="str">
        <f t="shared" si="221"/>
        <v>VÁLIDA</v>
      </c>
      <c r="BE29" s="304">
        <v>57953</v>
      </c>
      <c r="BF29" s="161">
        <f t="shared" si="222"/>
        <v>5041911</v>
      </c>
      <c r="BG29" s="162" t="str">
        <f t="shared" si="223"/>
        <v>VÁLIDA</v>
      </c>
      <c r="BH29" s="304">
        <v>57953</v>
      </c>
      <c r="BI29" s="161">
        <f t="shared" si="224"/>
        <v>5041911</v>
      </c>
      <c r="BJ29" s="162" t="str">
        <f t="shared" si="225"/>
        <v>VÁLIDA</v>
      </c>
      <c r="BK29" s="304">
        <v>56684</v>
      </c>
      <c r="BL29" s="161">
        <f t="shared" si="226"/>
        <v>4931508</v>
      </c>
      <c r="BM29" s="162" t="str">
        <f t="shared" si="227"/>
        <v>VÁLIDA</v>
      </c>
    </row>
    <row r="30" spans="1:65" ht="40.5" customHeight="1" x14ac:dyDescent="0.2">
      <c r="A30" s="11"/>
      <c r="B30" s="158" t="s">
        <v>137</v>
      </c>
      <c r="C30" s="159"/>
      <c r="D30" s="290" t="s">
        <v>169</v>
      </c>
      <c r="E30" s="159" t="s">
        <v>164</v>
      </c>
      <c r="F30" s="301">
        <v>82</v>
      </c>
      <c r="G30" s="301">
        <v>64673</v>
      </c>
      <c r="H30" s="160">
        <f t="shared" si="228"/>
        <v>5303186</v>
      </c>
      <c r="I30" s="304">
        <v>64026</v>
      </c>
      <c r="J30" s="161">
        <f t="shared" si="229"/>
        <v>5250132</v>
      </c>
      <c r="K30" s="162" t="str">
        <f t="shared" si="191"/>
        <v>VÁLIDA</v>
      </c>
      <c r="L30" s="304">
        <v>64000</v>
      </c>
      <c r="M30" s="161">
        <f t="shared" si="192"/>
        <v>5248000</v>
      </c>
      <c r="N30" s="162" t="str">
        <f t="shared" si="193"/>
        <v>VÁLIDA</v>
      </c>
      <c r="O30" s="304"/>
      <c r="P30" s="161">
        <f t="shared" si="194"/>
        <v>0</v>
      </c>
      <c r="Q30" s="162" t="str">
        <f t="shared" si="195"/>
        <v>NO VÁLIDA</v>
      </c>
      <c r="R30" s="304">
        <v>64673</v>
      </c>
      <c r="S30" s="161">
        <f t="shared" si="196"/>
        <v>5303186</v>
      </c>
      <c r="T30" s="162" t="str">
        <f t="shared" si="197"/>
        <v>VÁLIDA</v>
      </c>
      <c r="U30" s="304"/>
      <c r="V30" s="161">
        <f t="shared" si="198"/>
        <v>0</v>
      </c>
      <c r="W30" s="162" t="str">
        <f t="shared" si="199"/>
        <v>NO VÁLIDA</v>
      </c>
      <c r="X30" s="304">
        <v>63832</v>
      </c>
      <c r="Y30" s="161">
        <f t="shared" si="200"/>
        <v>5234224</v>
      </c>
      <c r="Z30" s="162" t="str">
        <f t="shared" si="201"/>
        <v>VÁLIDA</v>
      </c>
      <c r="AA30" s="304">
        <v>64220.29</v>
      </c>
      <c r="AB30" s="161">
        <f t="shared" si="202"/>
        <v>5266064</v>
      </c>
      <c r="AC30" s="162" t="str">
        <f t="shared" si="203"/>
        <v>VÁLIDA</v>
      </c>
      <c r="AD30" s="304"/>
      <c r="AE30" s="161">
        <f t="shared" si="204"/>
        <v>0</v>
      </c>
      <c r="AF30" s="162" t="str">
        <f t="shared" si="205"/>
        <v>NO VÁLIDA</v>
      </c>
      <c r="AG30" s="304">
        <v>64673</v>
      </c>
      <c r="AH30" s="161">
        <f t="shared" si="206"/>
        <v>5303186</v>
      </c>
      <c r="AI30" s="162" t="str">
        <f t="shared" si="207"/>
        <v>VÁLIDA</v>
      </c>
      <c r="AJ30" s="304"/>
      <c r="AK30" s="161">
        <f t="shared" si="208"/>
        <v>0</v>
      </c>
      <c r="AL30" s="162" t="str">
        <f t="shared" si="209"/>
        <v>NO VÁLIDA</v>
      </c>
      <c r="AM30" s="304"/>
      <c r="AN30" s="161">
        <f t="shared" si="210"/>
        <v>0</v>
      </c>
      <c r="AO30" s="162" t="str">
        <f t="shared" si="211"/>
        <v>NO VÁLIDA</v>
      </c>
      <c r="AP30" s="304"/>
      <c r="AQ30" s="161">
        <f t="shared" si="212"/>
        <v>0</v>
      </c>
      <c r="AR30" s="162" t="str">
        <f t="shared" si="213"/>
        <v>NO VÁLIDA</v>
      </c>
      <c r="AS30" s="304">
        <v>64173.7</v>
      </c>
      <c r="AT30" s="161">
        <f t="shared" si="214"/>
        <v>5262243</v>
      </c>
      <c r="AU30" s="162" t="str">
        <f t="shared" si="215"/>
        <v>VÁLIDA</v>
      </c>
      <c r="AV30" s="304"/>
      <c r="AW30" s="161">
        <f t="shared" si="216"/>
        <v>0</v>
      </c>
      <c r="AX30" s="162" t="str">
        <f t="shared" si="217"/>
        <v>NO VÁLIDA</v>
      </c>
      <c r="AY30" s="304">
        <v>64673</v>
      </c>
      <c r="AZ30" s="161">
        <f t="shared" si="218"/>
        <v>5303186</v>
      </c>
      <c r="BA30" s="162" t="str">
        <f t="shared" si="219"/>
        <v>VÁLIDA</v>
      </c>
      <c r="BB30" s="304">
        <v>64000</v>
      </c>
      <c r="BC30" s="161">
        <f t="shared" si="220"/>
        <v>5248000</v>
      </c>
      <c r="BD30" s="162" t="str">
        <f t="shared" si="221"/>
        <v>VÁLIDA</v>
      </c>
      <c r="BE30" s="304">
        <v>64673</v>
      </c>
      <c r="BF30" s="161">
        <f t="shared" si="222"/>
        <v>5303186</v>
      </c>
      <c r="BG30" s="162" t="str">
        <f t="shared" si="223"/>
        <v>VÁLIDA</v>
      </c>
      <c r="BH30" s="304">
        <v>64673</v>
      </c>
      <c r="BI30" s="161">
        <f t="shared" si="224"/>
        <v>5303186</v>
      </c>
      <c r="BJ30" s="162" t="str">
        <f t="shared" si="225"/>
        <v>VÁLIDA</v>
      </c>
      <c r="BK30" s="304">
        <v>63257</v>
      </c>
      <c r="BL30" s="161">
        <f t="shared" si="226"/>
        <v>5187074</v>
      </c>
      <c r="BM30" s="162" t="str">
        <f t="shared" si="227"/>
        <v>VÁLIDA</v>
      </c>
    </row>
    <row r="31" spans="1:65" ht="40.5" customHeight="1" x14ac:dyDescent="0.2">
      <c r="A31" s="11"/>
      <c r="B31" s="158" t="s">
        <v>138</v>
      </c>
      <c r="C31" s="159"/>
      <c r="D31" s="290" t="s">
        <v>170</v>
      </c>
      <c r="E31" s="159" t="s">
        <v>164</v>
      </c>
      <c r="F31" s="301">
        <v>82</v>
      </c>
      <c r="G31" s="301">
        <v>69153</v>
      </c>
      <c r="H31" s="160">
        <f t="shared" si="228"/>
        <v>5670546</v>
      </c>
      <c r="I31" s="304">
        <v>68461</v>
      </c>
      <c r="J31" s="161">
        <f t="shared" si="229"/>
        <v>5613802</v>
      </c>
      <c r="K31" s="162" t="str">
        <f t="shared" si="191"/>
        <v>VÁLIDA</v>
      </c>
      <c r="L31" s="304">
        <v>69000</v>
      </c>
      <c r="M31" s="161">
        <f t="shared" si="192"/>
        <v>5658000</v>
      </c>
      <c r="N31" s="162" t="str">
        <f t="shared" si="193"/>
        <v>VÁLIDA</v>
      </c>
      <c r="O31" s="304"/>
      <c r="P31" s="161">
        <f t="shared" si="194"/>
        <v>0</v>
      </c>
      <c r="Q31" s="162" t="str">
        <f t="shared" si="195"/>
        <v>NO VÁLIDA</v>
      </c>
      <c r="R31" s="304">
        <v>69153</v>
      </c>
      <c r="S31" s="161">
        <f t="shared" si="196"/>
        <v>5670546</v>
      </c>
      <c r="T31" s="162" t="str">
        <f t="shared" si="197"/>
        <v>VÁLIDA</v>
      </c>
      <c r="U31" s="304"/>
      <c r="V31" s="161">
        <f t="shared" si="198"/>
        <v>0</v>
      </c>
      <c r="W31" s="162" t="str">
        <f t="shared" si="199"/>
        <v>NO VÁLIDA</v>
      </c>
      <c r="X31" s="304">
        <v>68254</v>
      </c>
      <c r="Y31" s="161">
        <f t="shared" si="200"/>
        <v>5596828</v>
      </c>
      <c r="Z31" s="162" t="str">
        <f t="shared" si="201"/>
        <v>VÁLIDA</v>
      </c>
      <c r="AA31" s="304">
        <v>68668.929999999993</v>
      </c>
      <c r="AB31" s="161">
        <f t="shared" si="202"/>
        <v>5630852</v>
      </c>
      <c r="AC31" s="162" t="str">
        <f t="shared" si="203"/>
        <v>VÁLIDA</v>
      </c>
      <c r="AD31" s="304"/>
      <c r="AE31" s="161">
        <f t="shared" si="204"/>
        <v>0</v>
      </c>
      <c r="AF31" s="162" t="str">
        <f t="shared" si="205"/>
        <v>NO VÁLIDA</v>
      </c>
      <c r="AG31" s="304">
        <v>69153</v>
      </c>
      <c r="AH31" s="161">
        <f t="shared" si="206"/>
        <v>5670546</v>
      </c>
      <c r="AI31" s="162" t="str">
        <f t="shared" si="207"/>
        <v>VÁLIDA</v>
      </c>
      <c r="AJ31" s="304"/>
      <c r="AK31" s="161">
        <f t="shared" si="208"/>
        <v>0</v>
      </c>
      <c r="AL31" s="162" t="str">
        <f t="shared" si="209"/>
        <v>NO VÁLIDA</v>
      </c>
      <c r="AM31" s="304"/>
      <c r="AN31" s="161">
        <f t="shared" si="210"/>
        <v>0</v>
      </c>
      <c r="AO31" s="162" t="str">
        <f t="shared" si="211"/>
        <v>NO VÁLIDA</v>
      </c>
      <c r="AP31" s="304"/>
      <c r="AQ31" s="161">
        <f t="shared" si="212"/>
        <v>0</v>
      </c>
      <c r="AR31" s="162" t="str">
        <f t="shared" si="213"/>
        <v>NO VÁLIDA</v>
      </c>
      <c r="AS31" s="304">
        <v>68615.61</v>
      </c>
      <c r="AT31" s="161">
        <f t="shared" si="214"/>
        <v>5626480</v>
      </c>
      <c r="AU31" s="162" t="str">
        <f t="shared" si="215"/>
        <v>VÁLIDA</v>
      </c>
      <c r="AV31" s="304"/>
      <c r="AW31" s="161">
        <f t="shared" si="216"/>
        <v>0</v>
      </c>
      <c r="AX31" s="162" t="str">
        <f t="shared" si="217"/>
        <v>NO VÁLIDA</v>
      </c>
      <c r="AY31" s="304">
        <v>69153</v>
      </c>
      <c r="AZ31" s="161">
        <f t="shared" si="218"/>
        <v>5670546</v>
      </c>
      <c r="BA31" s="162" t="str">
        <f t="shared" si="219"/>
        <v>VÁLIDA</v>
      </c>
      <c r="BB31" s="304">
        <v>69000</v>
      </c>
      <c r="BC31" s="161">
        <f t="shared" si="220"/>
        <v>5658000</v>
      </c>
      <c r="BD31" s="162" t="str">
        <f t="shared" si="221"/>
        <v>VÁLIDA</v>
      </c>
      <c r="BE31" s="304">
        <v>69153</v>
      </c>
      <c r="BF31" s="161">
        <f t="shared" si="222"/>
        <v>5670546</v>
      </c>
      <c r="BG31" s="162" t="str">
        <f t="shared" si="223"/>
        <v>VÁLIDA</v>
      </c>
      <c r="BH31" s="304">
        <v>69153</v>
      </c>
      <c r="BI31" s="161">
        <f t="shared" si="224"/>
        <v>5670546</v>
      </c>
      <c r="BJ31" s="162" t="str">
        <f t="shared" si="225"/>
        <v>VÁLIDA</v>
      </c>
      <c r="BK31" s="304">
        <v>67639</v>
      </c>
      <c r="BL31" s="161">
        <f t="shared" si="226"/>
        <v>5546398</v>
      </c>
      <c r="BM31" s="162" t="str">
        <f t="shared" si="227"/>
        <v>VÁLIDA</v>
      </c>
    </row>
    <row r="32" spans="1:65" ht="40.5" customHeight="1" x14ac:dyDescent="0.2">
      <c r="A32" s="11"/>
      <c r="B32" s="158" t="s">
        <v>139</v>
      </c>
      <c r="C32" s="159"/>
      <c r="D32" s="290" t="s">
        <v>171</v>
      </c>
      <c r="E32" s="159" t="s">
        <v>156</v>
      </c>
      <c r="F32" s="301">
        <v>1500</v>
      </c>
      <c r="G32" s="301">
        <v>77100</v>
      </c>
      <c r="H32" s="160">
        <f t="shared" si="228"/>
        <v>115650000</v>
      </c>
      <c r="I32" s="304">
        <v>76329</v>
      </c>
      <c r="J32" s="161">
        <f t="shared" si="229"/>
        <v>114493500</v>
      </c>
      <c r="K32" s="162" t="str">
        <f t="shared" si="191"/>
        <v>VÁLIDA</v>
      </c>
      <c r="L32" s="304">
        <v>75000</v>
      </c>
      <c r="M32" s="161">
        <f t="shared" si="192"/>
        <v>112500000</v>
      </c>
      <c r="N32" s="162" t="str">
        <f t="shared" si="193"/>
        <v>VÁLIDA</v>
      </c>
      <c r="O32" s="304"/>
      <c r="P32" s="161">
        <f t="shared" si="194"/>
        <v>0</v>
      </c>
      <c r="Q32" s="162" t="str">
        <f t="shared" si="195"/>
        <v>NO VÁLIDA</v>
      </c>
      <c r="R32" s="304">
        <v>77100</v>
      </c>
      <c r="S32" s="161">
        <f t="shared" si="196"/>
        <v>115650000</v>
      </c>
      <c r="T32" s="162" t="str">
        <f t="shared" si="197"/>
        <v>VÁLIDA</v>
      </c>
      <c r="U32" s="304"/>
      <c r="V32" s="161">
        <f t="shared" si="198"/>
        <v>0</v>
      </c>
      <c r="W32" s="162" t="str">
        <f t="shared" si="199"/>
        <v>NO VÁLIDA</v>
      </c>
      <c r="X32" s="304">
        <v>76098</v>
      </c>
      <c r="Y32" s="161">
        <f t="shared" si="200"/>
        <v>114147000</v>
      </c>
      <c r="Z32" s="162" t="str">
        <f t="shared" si="201"/>
        <v>VÁLIDA</v>
      </c>
      <c r="AA32" s="304">
        <v>76560.3</v>
      </c>
      <c r="AB32" s="161">
        <f t="shared" si="202"/>
        <v>114840450</v>
      </c>
      <c r="AC32" s="162" t="str">
        <f t="shared" si="203"/>
        <v>VÁLIDA</v>
      </c>
      <c r="AD32" s="304"/>
      <c r="AE32" s="161">
        <f t="shared" si="204"/>
        <v>0</v>
      </c>
      <c r="AF32" s="162" t="str">
        <f t="shared" si="205"/>
        <v>NO VÁLIDA</v>
      </c>
      <c r="AG32" s="304">
        <v>77100</v>
      </c>
      <c r="AH32" s="161">
        <f t="shared" si="206"/>
        <v>115650000</v>
      </c>
      <c r="AI32" s="162" t="str">
        <f t="shared" si="207"/>
        <v>VÁLIDA</v>
      </c>
      <c r="AJ32" s="304"/>
      <c r="AK32" s="161">
        <f t="shared" si="208"/>
        <v>0</v>
      </c>
      <c r="AL32" s="162" t="str">
        <f t="shared" si="209"/>
        <v>NO VÁLIDA</v>
      </c>
      <c r="AM32" s="304"/>
      <c r="AN32" s="161">
        <f t="shared" si="210"/>
        <v>0</v>
      </c>
      <c r="AO32" s="162" t="str">
        <f t="shared" si="211"/>
        <v>NO VÁLIDA</v>
      </c>
      <c r="AP32" s="304"/>
      <c r="AQ32" s="161">
        <f t="shared" si="212"/>
        <v>0</v>
      </c>
      <c r="AR32" s="162" t="str">
        <f t="shared" si="213"/>
        <v>NO VÁLIDA</v>
      </c>
      <c r="AS32" s="304">
        <v>75779.360000000001</v>
      </c>
      <c r="AT32" s="161">
        <f t="shared" si="214"/>
        <v>113669040</v>
      </c>
      <c r="AU32" s="162" t="str">
        <f t="shared" si="215"/>
        <v>VÁLIDA</v>
      </c>
      <c r="AV32" s="304"/>
      <c r="AW32" s="161">
        <f t="shared" si="216"/>
        <v>0</v>
      </c>
      <c r="AX32" s="162" t="str">
        <f t="shared" si="217"/>
        <v>NO VÁLIDA</v>
      </c>
      <c r="AY32" s="304">
        <v>77100</v>
      </c>
      <c r="AZ32" s="161">
        <f t="shared" si="218"/>
        <v>115650000</v>
      </c>
      <c r="BA32" s="162" t="str">
        <f t="shared" si="219"/>
        <v>VÁLIDA</v>
      </c>
      <c r="BB32" s="304">
        <v>70000</v>
      </c>
      <c r="BC32" s="161">
        <f t="shared" si="220"/>
        <v>105000000</v>
      </c>
      <c r="BD32" s="162" t="str">
        <f t="shared" si="221"/>
        <v>VÁLIDA</v>
      </c>
      <c r="BE32" s="304">
        <v>77100</v>
      </c>
      <c r="BF32" s="161">
        <f t="shared" si="222"/>
        <v>115650000</v>
      </c>
      <c r="BG32" s="162" t="str">
        <f t="shared" si="223"/>
        <v>VÁLIDA</v>
      </c>
      <c r="BH32" s="304">
        <v>77100</v>
      </c>
      <c r="BI32" s="161">
        <f t="shared" si="224"/>
        <v>115650000</v>
      </c>
      <c r="BJ32" s="162" t="str">
        <f t="shared" si="225"/>
        <v>VÁLIDA</v>
      </c>
      <c r="BK32" s="304">
        <v>75412</v>
      </c>
      <c r="BL32" s="161">
        <f t="shared" si="226"/>
        <v>113118000</v>
      </c>
      <c r="BM32" s="162" t="str">
        <f t="shared" si="227"/>
        <v>VÁLIDA</v>
      </c>
    </row>
    <row r="33" spans="1:66" ht="40.5" customHeight="1" x14ac:dyDescent="0.2">
      <c r="A33" s="11"/>
      <c r="B33" s="158" t="s">
        <v>140</v>
      </c>
      <c r="C33" s="159"/>
      <c r="D33" s="290" t="s">
        <v>172</v>
      </c>
      <c r="E33" s="159" t="s">
        <v>164</v>
      </c>
      <c r="F33" s="301">
        <v>297</v>
      </c>
      <c r="G33" s="301">
        <v>9700</v>
      </c>
      <c r="H33" s="160">
        <f t="shared" si="189"/>
        <v>2880900</v>
      </c>
      <c r="I33" s="304">
        <v>9603</v>
      </c>
      <c r="J33" s="161">
        <f t="shared" si="190"/>
        <v>2852091</v>
      </c>
      <c r="K33" s="162" t="str">
        <f t="shared" si="191"/>
        <v>VÁLIDA</v>
      </c>
      <c r="L33" s="304">
        <v>9500</v>
      </c>
      <c r="M33" s="161">
        <f t="shared" si="192"/>
        <v>2821500</v>
      </c>
      <c r="N33" s="162" t="str">
        <f t="shared" si="193"/>
        <v>VÁLIDA</v>
      </c>
      <c r="O33" s="304"/>
      <c r="P33" s="161">
        <f t="shared" si="194"/>
        <v>0</v>
      </c>
      <c r="Q33" s="162" t="str">
        <f t="shared" si="195"/>
        <v>NO VÁLIDA</v>
      </c>
      <c r="R33" s="304">
        <v>9700</v>
      </c>
      <c r="S33" s="161">
        <f t="shared" si="196"/>
        <v>2880900</v>
      </c>
      <c r="T33" s="162" t="str">
        <f t="shared" si="197"/>
        <v>VÁLIDA</v>
      </c>
      <c r="U33" s="304"/>
      <c r="V33" s="161">
        <f t="shared" si="198"/>
        <v>0</v>
      </c>
      <c r="W33" s="162" t="str">
        <f t="shared" si="199"/>
        <v>NO VÁLIDA</v>
      </c>
      <c r="X33" s="304">
        <v>9574</v>
      </c>
      <c r="Y33" s="161">
        <f t="shared" si="200"/>
        <v>2843478</v>
      </c>
      <c r="Z33" s="162" t="str">
        <f t="shared" si="201"/>
        <v>VÁLIDA</v>
      </c>
      <c r="AA33" s="304">
        <v>9632.1</v>
      </c>
      <c r="AB33" s="161">
        <f t="shared" si="202"/>
        <v>2860734</v>
      </c>
      <c r="AC33" s="162" t="str">
        <f t="shared" si="203"/>
        <v>VÁLIDA</v>
      </c>
      <c r="AD33" s="304"/>
      <c r="AE33" s="161">
        <f t="shared" si="204"/>
        <v>0</v>
      </c>
      <c r="AF33" s="162" t="str">
        <f t="shared" si="205"/>
        <v>NO VÁLIDA</v>
      </c>
      <c r="AG33" s="304">
        <v>9700</v>
      </c>
      <c r="AH33" s="161">
        <f t="shared" si="206"/>
        <v>2880900</v>
      </c>
      <c r="AI33" s="162" t="str">
        <f t="shared" si="207"/>
        <v>VÁLIDA</v>
      </c>
      <c r="AJ33" s="304"/>
      <c r="AK33" s="161">
        <f t="shared" si="208"/>
        <v>0</v>
      </c>
      <c r="AL33" s="162" t="str">
        <f t="shared" si="209"/>
        <v>NO VÁLIDA</v>
      </c>
      <c r="AM33" s="304"/>
      <c r="AN33" s="161">
        <f t="shared" si="210"/>
        <v>0</v>
      </c>
      <c r="AO33" s="162" t="str">
        <f t="shared" si="211"/>
        <v>NO VÁLIDA</v>
      </c>
      <c r="AP33" s="304"/>
      <c r="AQ33" s="161">
        <f t="shared" si="212"/>
        <v>0</v>
      </c>
      <c r="AR33" s="162" t="str">
        <f t="shared" si="213"/>
        <v>NO VÁLIDA</v>
      </c>
      <c r="AS33" s="304">
        <v>9617.4</v>
      </c>
      <c r="AT33" s="161">
        <f t="shared" si="214"/>
        <v>2856368</v>
      </c>
      <c r="AU33" s="162" t="str">
        <f t="shared" si="215"/>
        <v>VÁLIDA</v>
      </c>
      <c r="AV33" s="304"/>
      <c r="AW33" s="161">
        <f t="shared" si="216"/>
        <v>0</v>
      </c>
      <c r="AX33" s="162" t="str">
        <f t="shared" si="217"/>
        <v>NO VÁLIDA</v>
      </c>
      <c r="AY33" s="304">
        <v>9700</v>
      </c>
      <c r="AZ33" s="161">
        <f t="shared" si="218"/>
        <v>2880900</v>
      </c>
      <c r="BA33" s="162" t="str">
        <f t="shared" si="219"/>
        <v>VÁLIDA</v>
      </c>
      <c r="BB33" s="304">
        <v>9700</v>
      </c>
      <c r="BC33" s="161">
        <f t="shared" si="220"/>
        <v>2880900</v>
      </c>
      <c r="BD33" s="162" t="str">
        <f t="shared" si="221"/>
        <v>VÁLIDA</v>
      </c>
      <c r="BE33" s="304">
        <v>9700</v>
      </c>
      <c r="BF33" s="161">
        <f t="shared" si="222"/>
        <v>2880900</v>
      </c>
      <c r="BG33" s="162" t="str">
        <f t="shared" si="223"/>
        <v>VÁLIDA</v>
      </c>
      <c r="BH33" s="304">
        <v>9700</v>
      </c>
      <c r="BI33" s="161">
        <f t="shared" si="224"/>
        <v>2880900</v>
      </c>
      <c r="BJ33" s="162" t="str">
        <f t="shared" si="225"/>
        <v>VÁLIDA</v>
      </c>
      <c r="BK33" s="304">
        <v>9488</v>
      </c>
      <c r="BL33" s="161">
        <f t="shared" si="226"/>
        <v>2817936</v>
      </c>
      <c r="BM33" s="162" t="str">
        <f t="shared" si="227"/>
        <v>VÁLIDA</v>
      </c>
    </row>
    <row r="34" spans="1:66" ht="50.45" customHeight="1" x14ac:dyDescent="0.2">
      <c r="A34" s="11"/>
      <c r="B34" s="158" t="s">
        <v>141</v>
      </c>
      <c r="C34" s="159"/>
      <c r="D34" s="290" t="s">
        <v>173</v>
      </c>
      <c r="E34" s="159" t="s">
        <v>154</v>
      </c>
      <c r="F34" s="301">
        <f t="shared" ref="F34:F35" si="230">H34/G34</f>
        <v>316.20312640778451</v>
      </c>
      <c r="G34" s="301">
        <v>44396</v>
      </c>
      <c r="H34" s="160">
        <v>14038154</v>
      </c>
      <c r="I34" s="304">
        <v>43952</v>
      </c>
      <c r="J34" s="313">
        <f>ROUND(316.2*I34,0)</f>
        <v>13897622</v>
      </c>
      <c r="K34" s="162" t="str">
        <f t="shared" si="191"/>
        <v>VÁLIDA</v>
      </c>
      <c r="L34" s="304">
        <v>44000</v>
      </c>
      <c r="M34" s="313">
        <f>ROUND(316.2*L34,0)</f>
        <v>13912800</v>
      </c>
      <c r="N34" s="162" t="str">
        <f t="shared" si="193"/>
        <v>VÁLIDA</v>
      </c>
      <c r="O34" s="304"/>
      <c r="P34" s="161">
        <f t="shared" si="194"/>
        <v>0</v>
      </c>
      <c r="Q34" s="162" t="str">
        <f t="shared" si="195"/>
        <v>NO VÁLIDA</v>
      </c>
      <c r="R34" s="304">
        <v>44396</v>
      </c>
      <c r="S34" s="311">
        <f>ROUND(316.2*R34,0)</f>
        <v>14038015</v>
      </c>
      <c r="T34" s="162" t="str">
        <f t="shared" si="197"/>
        <v>VÁLIDA</v>
      </c>
      <c r="U34" s="304"/>
      <c r="V34" s="161">
        <f t="shared" si="198"/>
        <v>0</v>
      </c>
      <c r="W34" s="162" t="str">
        <f t="shared" si="199"/>
        <v>NO VÁLIDA</v>
      </c>
      <c r="X34" s="304">
        <v>43818</v>
      </c>
      <c r="Y34" s="161">
        <f>ROUND(316.2*X34,0)</f>
        <v>13855252</v>
      </c>
      <c r="Z34" s="162" t="str">
        <f t="shared" si="201"/>
        <v>VÁLIDA</v>
      </c>
      <c r="AA34" s="304">
        <v>44083.24</v>
      </c>
      <c r="AB34" s="161">
        <f>ROUND(316.2*AA34,0)</f>
        <v>13939120</v>
      </c>
      <c r="AC34" s="162" t="str">
        <f t="shared" si="203"/>
        <v>VÁLIDA</v>
      </c>
      <c r="AD34" s="304"/>
      <c r="AE34" s="161">
        <f t="shared" si="204"/>
        <v>0</v>
      </c>
      <c r="AF34" s="162" t="str">
        <f t="shared" si="205"/>
        <v>NO VÁLIDA</v>
      </c>
      <c r="AG34" s="304">
        <v>44396</v>
      </c>
      <c r="AH34" s="161">
        <f>ROUND(316.2*AG34,0)</f>
        <v>14038015</v>
      </c>
      <c r="AI34" s="162" t="str">
        <f t="shared" si="207"/>
        <v>VÁLIDA</v>
      </c>
      <c r="AJ34" s="304"/>
      <c r="AK34" s="161">
        <f t="shared" si="208"/>
        <v>0</v>
      </c>
      <c r="AL34" s="162" t="str">
        <f t="shared" si="209"/>
        <v>NO VÁLIDA</v>
      </c>
      <c r="AM34" s="304"/>
      <c r="AN34" s="161">
        <f t="shared" si="210"/>
        <v>0</v>
      </c>
      <c r="AO34" s="162" t="str">
        <f t="shared" si="211"/>
        <v>NO VÁLIDA</v>
      </c>
      <c r="AP34" s="304"/>
      <c r="AQ34" s="161">
        <f t="shared" si="212"/>
        <v>0</v>
      </c>
      <c r="AR34" s="162" t="str">
        <f t="shared" si="213"/>
        <v>NO VÁLIDA</v>
      </c>
      <c r="AS34" s="304">
        <v>44026.76</v>
      </c>
      <c r="AT34" s="161">
        <f>ROUND(316.2*AS34,0)</f>
        <v>13921262</v>
      </c>
      <c r="AU34" s="162" t="str">
        <f t="shared" si="215"/>
        <v>VÁLIDA</v>
      </c>
      <c r="AV34" s="304"/>
      <c r="AW34" s="161">
        <f t="shared" si="216"/>
        <v>0</v>
      </c>
      <c r="AX34" s="162" t="str">
        <f t="shared" si="217"/>
        <v>NO VÁLIDA</v>
      </c>
      <c r="AY34" s="304">
        <v>44396</v>
      </c>
      <c r="AZ34" s="161">
        <f>ROUND(316.2*AY34,0)</f>
        <v>14038015</v>
      </c>
      <c r="BA34" s="162" t="str">
        <f t="shared" si="219"/>
        <v>VÁLIDA</v>
      </c>
      <c r="BB34" s="304">
        <v>44000</v>
      </c>
      <c r="BC34" s="161">
        <f>ROUND(316.2*BB34,0)</f>
        <v>13912800</v>
      </c>
      <c r="BD34" s="162" t="str">
        <f t="shared" si="221"/>
        <v>VÁLIDA</v>
      </c>
      <c r="BE34" s="304">
        <v>44396</v>
      </c>
      <c r="BF34" s="161">
        <f>ROUND(316.2*BE34,0)</f>
        <v>14038015</v>
      </c>
      <c r="BG34" s="162" t="str">
        <f t="shared" si="223"/>
        <v>VÁLIDA</v>
      </c>
      <c r="BH34" s="304">
        <v>42860</v>
      </c>
      <c r="BI34" s="161">
        <f>ROUND(316.2*BH34,0)</f>
        <v>13552332</v>
      </c>
      <c r="BJ34" s="162" t="str">
        <f t="shared" si="225"/>
        <v>VÁLIDA</v>
      </c>
      <c r="BK34" s="304">
        <v>43424</v>
      </c>
      <c r="BL34" s="161">
        <f>ROUND(316.2*BK34,0)</f>
        <v>13730669</v>
      </c>
      <c r="BM34" s="162" t="str">
        <f t="shared" si="227"/>
        <v>VÁLIDA</v>
      </c>
    </row>
    <row r="35" spans="1:66" ht="30.6" customHeight="1" thickBot="1" x14ac:dyDescent="0.25">
      <c r="A35" s="11"/>
      <c r="B35" s="158" t="s">
        <v>142</v>
      </c>
      <c r="C35" s="159"/>
      <c r="D35" s="290" t="s">
        <v>174</v>
      </c>
      <c r="E35" s="159" t="s">
        <v>156</v>
      </c>
      <c r="F35" s="301">
        <f t="shared" si="230"/>
        <v>450.53505505822704</v>
      </c>
      <c r="G35" s="301">
        <v>113607</v>
      </c>
      <c r="H35" s="160">
        <v>51183936</v>
      </c>
      <c r="I35" s="306">
        <v>112470</v>
      </c>
      <c r="J35" s="314">
        <f>ROUND(450.54*I35,0)</f>
        <v>50672234</v>
      </c>
      <c r="K35" s="238" t="str">
        <f t="shared" si="191"/>
        <v>VÁLIDA</v>
      </c>
      <c r="L35" s="306">
        <v>110000</v>
      </c>
      <c r="M35" s="314">
        <f>ROUND(450.54*L35,0)</f>
        <v>49559400</v>
      </c>
      <c r="N35" s="238" t="str">
        <f t="shared" si="193"/>
        <v>VÁLIDA</v>
      </c>
      <c r="O35" s="306"/>
      <c r="P35" s="237">
        <f t="shared" si="194"/>
        <v>0</v>
      </c>
      <c r="Q35" s="238" t="str">
        <f t="shared" si="195"/>
        <v>NO VÁLIDA</v>
      </c>
      <c r="R35" s="306">
        <v>112487</v>
      </c>
      <c r="S35" s="312">
        <f>ROUND(450.54*R35,0)</f>
        <v>50679893</v>
      </c>
      <c r="T35" s="238" t="str">
        <f t="shared" si="197"/>
        <v>VÁLIDA</v>
      </c>
      <c r="U35" s="306"/>
      <c r="V35" s="237">
        <f t="shared" si="198"/>
        <v>0</v>
      </c>
      <c r="W35" s="238" t="str">
        <f t="shared" si="199"/>
        <v>NO VÁLIDA</v>
      </c>
      <c r="X35" s="306">
        <v>112130</v>
      </c>
      <c r="Y35" s="237">
        <f>ROUND(450.54*X35,0)</f>
        <v>50519050</v>
      </c>
      <c r="Z35" s="238" t="str">
        <f t="shared" si="201"/>
        <v>VÁLIDA</v>
      </c>
      <c r="AA35" s="306">
        <v>112809.77</v>
      </c>
      <c r="AB35" s="237">
        <f>ROUND(450.54*AA35,0)</f>
        <v>50825314</v>
      </c>
      <c r="AC35" s="238" t="str">
        <f t="shared" si="203"/>
        <v>VÁLIDA</v>
      </c>
      <c r="AD35" s="306"/>
      <c r="AE35" s="237">
        <f t="shared" si="204"/>
        <v>0</v>
      </c>
      <c r="AF35" s="238" t="str">
        <f t="shared" si="205"/>
        <v>NO VÁLIDA</v>
      </c>
      <c r="AG35" s="306">
        <v>113607</v>
      </c>
      <c r="AH35" s="237">
        <f>ROUND(450.54*AG35,0)</f>
        <v>51184498</v>
      </c>
      <c r="AI35" s="238" t="str">
        <f t="shared" si="207"/>
        <v>VÁLIDA</v>
      </c>
      <c r="AJ35" s="306"/>
      <c r="AK35" s="237">
        <f t="shared" si="208"/>
        <v>0</v>
      </c>
      <c r="AL35" s="238" t="str">
        <f t="shared" si="209"/>
        <v>NO VÁLIDA</v>
      </c>
      <c r="AM35" s="306"/>
      <c r="AN35" s="237">
        <f t="shared" si="210"/>
        <v>0</v>
      </c>
      <c r="AO35" s="238" t="str">
        <f t="shared" si="211"/>
        <v>NO VÁLIDA</v>
      </c>
      <c r="AP35" s="306"/>
      <c r="AQ35" s="237">
        <f t="shared" si="212"/>
        <v>0</v>
      </c>
      <c r="AR35" s="238" t="str">
        <f t="shared" si="213"/>
        <v>NO VÁLIDA</v>
      </c>
      <c r="AS35" s="306">
        <v>112697.58</v>
      </c>
      <c r="AT35" s="237">
        <f>ROUND(450.54*AS35,0)</f>
        <v>50774768</v>
      </c>
      <c r="AU35" s="238" t="str">
        <f t="shared" si="215"/>
        <v>VÁLIDA</v>
      </c>
      <c r="AV35" s="306"/>
      <c r="AW35" s="237">
        <f t="shared" si="216"/>
        <v>0</v>
      </c>
      <c r="AX35" s="238" t="str">
        <f t="shared" si="217"/>
        <v>NO VÁLIDA</v>
      </c>
      <c r="AY35" s="306">
        <v>113607</v>
      </c>
      <c r="AZ35" s="237">
        <f>ROUND(450.54*AY35,0)</f>
        <v>51184498</v>
      </c>
      <c r="BA35" s="238" t="str">
        <f t="shared" si="219"/>
        <v>VÁLIDA</v>
      </c>
      <c r="BB35" s="306">
        <v>113000</v>
      </c>
      <c r="BC35" s="237">
        <f>ROUND(450.54*BB35,0)</f>
        <v>50911020</v>
      </c>
      <c r="BD35" s="238" t="str">
        <f t="shared" si="221"/>
        <v>VÁLIDA</v>
      </c>
      <c r="BE35" s="306">
        <v>113607</v>
      </c>
      <c r="BF35" s="237">
        <f>ROUND(450.54*BE35,0)</f>
        <v>51184498</v>
      </c>
      <c r="BG35" s="238" t="str">
        <f t="shared" si="223"/>
        <v>VÁLIDA</v>
      </c>
      <c r="BH35" s="306">
        <v>113607</v>
      </c>
      <c r="BI35" s="237">
        <f>ROUND(450.54*BH35,0)</f>
        <v>51184498</v>
      </c>
      <c r="BJ35" s="238" t="str">
        <f t="shared" si="225"/>
        <v>VÁLIDA</v>
      </c>
      <c r="BK35" s="306">
        <v>111119</v>
      </c>
      <c r="BL35" s="237">
        <f>ROUND(450.54*BK35,0)</f>
        <v>50063554</v>
      </c>
      <c r="BM35" s="238" t="str">
        <f t="shared" si="227"/>
        <v>VÁLIDA</v>
      </c>
    </row>
    <row r="36" spans="1:66" ht="22.5" customHeight="1" x14ac:dyDescent="0.2">
      <c r="A36" s="11"/>
      <c r="B36" s="156" t="s">
        <v>122</v>
      </c>
      <c r="C36" s="157"/>
      <c r="D36" s="157"/>
      <c r="E36" s="157"/>
      <c r="F36" s="302"/>
      <c r="G36" s="302"/>
      <c r="H36" s="184">
        <f>SUM(H37:H38)</f>
        <v>5076760</v>
      </c>
      <c r="I36" s="305"/>
      <c r="J36" s="186">
        <f>SUM(J37:J38)</f>
        <v>5025989</v>
      </c>
      <c r="K36" s="187"/>
      <c r="L36" s="305"/>
      <c r="M36" s="186">
        <f t="shared" ref="M36" si="231">SUM(M37:M38)</f>
        <v>5076000</v>
      </c>
      <c r="N36" s="187"/>
      <c r="O36" s="305"/>
      <c r="P36" s="186">
        <f t="shared" ref="P36" si="232">SUM(P37:P38)</f>
        <v>0</v>
      </c>
      <c r="Q36" s="187"/>
      <c r="R36" s="305"/>
      <c r="S36" s="186">
        <f t="shared" ref="S36" si="233">SUM(S37:S38)</f>
        <v>5076760</v>
      </c>
      <c r="T36" s="187"/>
      <c r="U36" s="305"/>
      <c r="V36" s="186">
        <f t="shared" ref="V36" si="234">SUM(V37:V38)</f>
        <v>0</v>
      </c>
      <c r="W36" s="187"/>
      <c r="X36" s="305"/>
      <c r="Y36" s="186">
        <f t="shared" ref="Y36" si="235">SUM(Y37:Y38)</f>
        <v>5010761</v>
      </c>
      <c r="Z36" s="187"/>
      <c r="AA36" s="305"/>
      <c r="AB36" s="186">
        <f t="shared" ref="AB36" si="236">SUM(AB37:AB38)</f>
        <v>5041215</v>
      </c>
      <c r="AC36" s="187"/>
      <c r="AD36" s="305"/>
      <c r="AE36" s="186">
        <f t="shared" ref="AE36" si="237">SUM(AE37:AE38)</f>
        <v>0</v>
      </c>
      <c r="AF36" s="187"/>
      <c r="AG36" s="305"/>
      <c r="AH36" s="186">
        <f t="shared" ref="AH36" si="238">SUM(AH37:AH38)</f>
        <v>5076760</v>
      </c>
      <c r="AI36" s="187"/>
      <c r="AJ36" s="305"/>
      <c r="AK36" s="186">
        <f t="shared" ref="AK36" si="239">SUM(AK37:AK38)</f>
        <v>0</v>
      </c>
      <c r="AL36" s="187"/>
      <c r="AM36" s="305"/>
      <c r="AN36" s="186">
        <f t="shared" ref="AN36" si="240">SUM(AN37:AN38)</f>
        <v>0</v>
      </c>
      <c r="AO36" s="187"/>
      <c r="AP36" s="305"/>
      <c r="AQ36" s="186">
        <f t="shared" ref="AQ36" si="241">SUM(AQ37:AQ38)</f>
        <v>0</v>
      </c>
      <c r="AR36" s="187"/>
      <c r="AS36" s="305"/>
      <c r="AT36" s="186">
        <f t="shared" ref="AT36" si="242">SUM(AT37:AT38)</f>
        <v>5034595</v>
      </c>
      <c r="AU36" s="187"/>
      <c r="AV36" s="305"/>
      <c r="AW36" s="186">
        <f t="shared" ref="AW36" si="243">SUM(AW37:AW38)</f>
        <v>0</v>
      </c>
      <c r="AX36" s="187"/>
      <c r="AY36" s="305"/>
      <c r="AZ36" s="186">
        <f t="shared" ref="AZ36" si="244">SUM(AZ37:AZ38)</f>
        <v>5076760</v>
      </c>
      <c r="BA36" s="187"/>
      <c r="BB36" s="305"/>
      <c r="BC36" s="186">
        <f t="shared" ref="BC36" si="245">SUM(BC37:BC38)</f>
        <v>5040000</v>
      </c>
      <c r="BD36" s="187"/>
      <c r="BE36" s="305"/>
      <c r="BF36" s="186">
        <f t="shared" ref="BF36" si="246">SUM(BF37:BF38)</f>
        <v>5076704</v>
      </c>
      <c r="BG36" s="187"/>
      <c r="BH36" s="305"/>
      <c r="BI36" s="186">
        <f t="shared" ref="BI36" si="247">SUM(BI37:BI38)</f>
        <v>5076760</v>
      </c>
      <c r="BJ36" s="187"/>
      <c r="BK36" s="305"/>
      <c r="BL36" s="186">
        <f t="shared" ref="BL36" si="248">SUM(BL37:BL38)</f>
        <v>4965581</v>
      </c>
      <c r="BM36" s="187"/>
    </row>
    <row r="37" spans="1:66" ht="30.6" customHeight="1" x14ac:dyDescent="0.2">
      <c r="A37" s="11"/>
      <c r="B37" s="158" t="s">
        <v>143</v>
      </c>
      <c r="C37" s="159"/>
      <c r="D37" s="290" t="s">
        <v>175</v>
      </c>
      <c r="E37" s="159" t="s">
        <v>176</v>
      </c>
      <c r="F37" s="301">
        <v>3</v>
      </c>
      <c r="G37" s="301">
        <v>520064</v>
      </c>
      <c r="H37" s="160">
        <f t="shared" ref="H37:H38" si="249">ROUND(G37*F37,0)</f>
        <v>1560192</v>
      </c>
      <c r="I37" s="304">
        <v>514863</v>
      </c>
      <c r="J37" s="161">
        <f t="shared" ref="J37:J38" si="250">ROUND($F37*I37,0)</f>
        <v>1544589</v>
      </c>
      <c r="K37" s="162" t="str">
        <f t="shared" ref="K37:K38" si="251">+IF(I37&gt;0,IF(OR(I37&gt;$G37,ROUND(I37,0)&gt;$G37),"NO VÁLIDA","VÁLIDA"),"NO VÁLIDA")</f>
        <v>VÁLIDA</v>
      </c>
      <c r="L37" s="304">
        <v>520000</v>
      </c>
      <c r="M37" s="161">
        <f t="shared" ref="M37:M38" si="252">ROUND($F37*L37,0)</f>
        <v>1560000</v>
      </c>
      <c r="N37" s="162" t="str">
        <f t="shared" ref="N37:N38" si="253">+IF(L37&gt;0,IF(OR(L37&gt;$G37,ROUND(L37,0)&gt;$G37),"NO VÁLIDA","VÁLIDA"),"NO VÁLIDA")</f>
        <v>VÁLIDA</v>
      </c>
      <c r="O37" s="304"/>
      <c r="P37" s="161">
        <f t="shared" ref="P37:P38" si="254">ROUND($F37*O37,0)</f>
        <v>0</v>
      </c>
      <c r="Q37" s="162" t="str">
        <f t="shared" ref="Q37:Q38" si="255">+IF(O37&gt;0,IF(OR(O37&gt;$G37,ROUND(O37,0)&gt;$G37),"NO VÁLIDA","VÁLIDA"),"NO VÁLIDA")</f>
        <v>NO VÁLIDA</v>
      </c>
      <c r="R37" s="304">
        <v>520064</v>
      </c>
      <c r="S37" s="161">
        <f t="shared" ref="S37:S38" si="256">ROUND($F37*R37,0)</f>
        <v>1560192</v>
      </c>
      <c r="T37" s="162" t="str">
        <f t="shared" ref="T37:T38" si="257">+IF(R37&gt;0,IF(OR(R37&gt;$G37,ROUND(R37,0)&gt;$G37),"NO VÁLIDA","VÁLIDA"),"NO VÁLIDA")</f>
        <v>VÁLIDA</v>
      </c>
      <c r="U37" s="304"/>
      <c r="V37" s="161">
        <f t="shared" ref="V37:V38" si="258">ROUND($F37*U37,0)</f>
        <v>0</v>
      </c>
      <c r="W37" s="162" t="str">
        <f t="shared" ref="W37:W38" si="259">+IF(U37&gt;0,IF(OR(U37&gt;$G37,ROUND(U37,0)&gt;$G37),"NO VÁLIDA","VÁLIDA"),"NO VÁLIDA")</f>
        <v>NO VÁLIDA</v>
      </c>
      <c r="X37" s="304">
        <v>513303</v>
      </c>
      <c r="Y37" s="161">
        <f t="shared" ref="Y37:Y38" si="260">ROUND($F37*X37,0)</f>
        <v>1539909</v>
      </c>
      <c r="Z37" s="162" t="str">
        <f t="shared" ref="Z37:Z38" si="261">+IF(X37&gt;0,IF(OR(X37&gt;$G37,ROUND(X37,0)&gt;$G37),"NO VÁLIDA","VÁLIDA"),"NO VÁLIDA")</f>
        <v>VÁLIDA</v>
      </c>
      <c r="AA37" s="304">
        <v>516423.55</v>
      </c>
      <c r="AB37" s="161">
        <f t="shared" ref="AB37:AB38" si="262">ROUND($F37*AA37,0)</f>
        <v>1549271</v>
      </c>
      <c r="AC37" s="162" t="str">
        <f t="shared" ref="AC37:AC38" si="263">+IF(AA37&gt;0,IF(OR(AA37&gt;$G37,ROUND(AA37,0)&gt;$G37),"NO VÁLIDA","VÁLIDA"),"NO VÁLIDA")</f>
        <v>VÁLIDA</v>
      </c>
      <c r="AD37" s="304"/>
      <c r="AE37" s="161">
        <f t="shared" ref="AE37:AE38" si="264">ROUND($F37*AD37,0)</f>
        <v>0</v>
      </c>
      <c r="AF37" s="162" t="str">
        <f t="shared" ref="AF37:AF38" si="265">+IF(AD37&gt;0,IF(OR(AD37&gt;$G37,ROUND(AD37,0)&gt;$G37),"NO VÁLIDA","VÁLIDA"),"NO VÁLIDA")</f>
        <v>NO VÁLIDA</v>
      </c>
      <c r="AG37" s="304">
        <v>520064</v>
      </c>
      <c r="AH37" s="161">
        <f t="shared" ref="AH37:AH38" si="266">ROUND($F37*AG37,0)</f>
        <v>1560192</v>
      </c>
      <c r="AI37" s="162" t="str">
        <f t="shared" ref="AI37:AI38" si="267">+IF(AG37&gt;0,IF(OR(AG37&gt;$G37,ROUND(AG37,0)&gt;$G37),"NO VÁLIDA","VÁLIDA"),"NO VÁLIDA")</f>
        <v>VÁLIDA</v>
      </c>
      <c r="AJ37" s="304"/>
      <c r="AK37" s="161">
        <f t="shared" ref="AK37:AK38" si="268">ROUND($F37*AJ37,0)</f>
        <v>0</v>
      </c>
      <c r="AL37" s="162" t="str">
        <f t="shared" ref="AL37:AL38" si="269">+IF(AJ37&gt;0,IF(OR(AJ37&gt;$G37,ROUND(AJ37,0)&gt;$G37),"NO VÁLIDA","VÁLIDA"),"NO VÁLIDA")</f>
        <v>NO VÁLIDA</v>
      </c>
      <c r="AM37" s="304"/>
      <c r="AN37" s="161">
        <f t="shared" ref="AN37:AN38" si="270">ROUND($F37*AM37,0)</f>
        <v>0</v>
      </c>
      <c r="AO37" s="162" t="str">
        <f t="shared" ref="AO37:AO38" si="271">+IF(AM37&gt;0,IF(OR(AM37&gt;$G37,ROUND(AM37,0)&gt;$G37),"NO VÁLIDA","VÁLIDA"),"NO VÁLIDA")</f>
        <v>NO VÁLIDA</v>
      </c>
      <c r="AP37" s="304"/>
      <c r="AQ37" s="161">
        <f t="shared" ref="AQ37:AQ38" si="272">ROUND($F37*AP37,0)</f>
        <v>0</v>
      </c>
      <c r="AR37" s="162" t="str">
        <f t="shared" ref="AR37:AR38" si="273">+IF(AP37&gt;0,IF(OR(AP37&gt;$G37,ROUND(AP37,0)&gt;$G37),"NO VÁLIDA","VÁLIDA"),"NO VÁLIDA")</f>
        <v>NO VÁLIDA</v>
      </c>
      <c r="AS37" s="304">
        <v>515724.57</v>
      </c>
      <c r="AT37" s="161">
        <f t="shared" ref="AT37:AT38" si="274">ROUND($F37*AS37,0)</f>
        <v>1547174</v>
      </c>
      <c r="AU37" s="162" t="str">
        <f t="shared" ref="AU37:AU38" si="275">+IF(AS37&gt;0,IF(OR(AS37&gt;$G37,ROUND(AS37,0)&gt;$G37),"NO VÁLIDA","VÁLIDA"),"NO VÁLIDA")</f>
        <v>VÁLIDA</v>
      </c>
      <c r="AV37" s="304"/>
      <c r="AW37" s="161">
        <f t="shared" ref="AW37:AW38" si="276">ROUND($F37*AV37,0)</f>
        <v>0</v>
      </c>
      <c r="AX37" s="162" t="str">
        <f t="shared" ref="AX37:AX38" si="277">+IF(AV37&gt;0,IF(OR(AV37&gt;$G37,ROUND(AV37,0)&gt;$G37),"NO VÁLIDA","VÁLIDA"),"NO VÁLIDA")</f>
        <v>NO VÁLIDA</v>
      </c>
      <c r="AY37" s="304">
        <v>520064</v>
      </c>
      <c r="AZ37" s="161">
        <f t="shared" ref="AZ37:AZ38" si="278">ROUND($F37*AY37,0)</f>
        <v>1560192</v>
      </c>
      <c r="BA37" s="162" t="str">
        <f t="shared" ref="BA37:BA38" si="279">+IF(AY37&gt;0,IF(OR(AY37&gt;$G37,ROUND(AY37,0)&gt;$G37),"NO VÁLIDA","VÁLIDA"),"NO VÁLIDA")</f>
        <v>VÁLIDA</v>
      </c>
      <c r="BB37" s="304">
        <v>520000</v>
      </c>
      <c r="BC37" s="161">
        <f t="shared" ref="BC37:BC38" si="280">ROUND($F37*BB37,0)</f>
        <v>1560000</v>
      </c>
      <c r="BD37" s="162" t="str">
        <f t="shared" ref="BD37:BD38" si="281">+IF(BB37&gt;0,IF(OR(BB37&gt;$G37,ROUND(BB37,0)&gt;$G37),"NO VÁLIDA","VÁLIDA"),"NO VÁLIDA")</f>
        <v>VÁLIDA</v>
      </c>
      <c r="BE37" s="304">
        <v>520064</v>
      </c>
      <c r="BF37" s="161">
        <f t="shared" ref="BF37:BF38" si="282">ROUND($F37*BE37,0)</f>
        <v>1560192</v>
      </c>
      <c r="BG37" s="162" t="str">
        <f t="shared" ref="BG37:BG38" si="283">+IF(BE37&gt;0,IF(OR(BE37&gt;$G37,ROUND(BE37,0)&gt;$G37),"NO VÁLIDA","VÁLIDA"),"NO VÁLIDA")</f>
        <v>VÁLIDA</v>
      </c>
      <c r="BH37" s="304">
        <v>520064</v>
      </c>
      <c r="BI37" s="161">
        <f t="shared" ref="BI37:BI38" si="284">ROUND($F37*BH37,0)</f>
        <v>1560192</v>
      </c>
      <c r="BJ37" s="162" t="str">
        <f t="shared" ref="BJ37:BJ38" si="285">+IF(BH37&gt;0,IF(OR(BH37&gt;$G37,ROUND(BH37,0)&gt;$G37),"NO VÁLIDA","VÁLIDA"),"NO VÁLIDA")</f>
        <v>VÁLIDA</v>
      </c>
      <c r="BK37" s="304">
        <v>508675</v>
      </c>
      <c r="BL37" s="161">
        <f t="shared" ref="BL37:BL38" si="286">ROUND($F37*BK37,0)</f>
        <v>1526025</v>
      </c>
      <c r="BM37" s="162" t="str">
        <f t="shared" ref="BM37:BM38" si="287">+IF(BK37&gt;0,IF(OR(BK37&gt;$G37,ROUND(BK37,0)&gt;$G37),"NO VÁLIDA","VÁLIDA"),"NO VÁLIDA")</f>
        <v>VÁLIDA</v>
      </c>
    </row>
    <row r="38" spans="1:66" ht="30.6" customHeight="1" thickBot="1" x14ac:dyDescent="0.25">
      <c r="A38" s="11"/>
      <c r="B38" s="158" t="s">
        <v>144</v>
      </c>
      <c r="C38" s="159"/>
      <c r="D38" s="290" t="s">
        <v>177</v>
      </c>
      <c r="E38" s="159" t="s">
        <v>176</v>
      </c>
      <c r="F38" s="301">
        <v>4</v>
      </c>
      <c r="G38" s="301">
        <v>879142</v>
      </c>
      <c r="H38" s="160">
        <f t="shared" si="249"/>
        <v>3516568</v>
      </c>
      <c r="I38" s="306">
        <v>870350</v>
      </c>
      <c r="J38" s="237">
        <f t="shared" si="250"/>
        <v>3481400</v>
      </c>
      <c r="K38" s="238" t="str">
        <f t="shared" si="251"/>
        <v>VÁLIDA</v>
      </c>
      <c r="L38" s="306">
        <v>879000</v>
      </c>
      <c r="M38" s="237">
        <f t="shared" si="252"/>
        <v>3516000</v>
      </c>
      <c r="N38" s="238" t="str">
        <f t="shared" si="253"/>
        <v>VÁLIDA</v>
      </c>
      <c r="O38" s="306"/>
      <c r="P38" s="237">
        <f t="shared" si="254"/>
        <v>0</v>
      </c>
      <c r="Q38" s="238" t="str">
        <f t="shared" si="255"/>
        <v>NO VÁLIDA</v>
      </c>
      <c r="R38" s="306">
        <v>879142</v>
      </c>
      <c r="S38" s="237">
        <f t="shared" si="256"/>
        <v>3516568</v>
      </c>
      <c r="T38" s="238" t="str">
        <f t="shared" si="257"/>
        <v>VÁLIDA</v>
      </c>
      <c r="U38" s="306"/>
      <c r="V38" s="237">
        <f t="shared" si="258"/>
        <v>0</v>
      </c>
      <c r="W38" s="238" t="str">
        <f t="shared" si="259"/>
        <v>NO VÁLIDA</v>
      </c>
      <c r="X38" s="306">
        <v>867713</v>
      </c>
      <c r="Y38" s="237">
        <f t="shared" si="260"/>
        <v>3470852</v>
      </c>
      <c r="Z38" s="238" t="str">
        <f t="shared" si="261"/>
        <v>VÁLIDA</v>
      </c>
      <c r="AA38" s="306">
        <v>872986.02</v>
      </c>
      <c r="AB38" s="237">
        <f t="shared" si="262"/>
        <v>3491944</v>
      </c>
      <c r="AC38" s="238" t="str">
        <f t="shared" si="263"/>
        <v>VÁLIDA</v>
      </c>
      <c r="AD38" s="306"/>
      <c r="AE38" s="237">
        <f t="shared" si="264"/>
        <v>0</v>
      </c>
      <c r="AF38" s="238" t="str">
        <f t="shared" si="265"/>
        <v>NO VÁLIDA</v>
      </c>
      <c r="AG38" s="306">
        <v>879142</v>
      </c>
      <c r="AH38" s="237">
        <f t="shared" si="266"/>
        <v>3516568</v>
      </c>
      <c r="AI38" s="238" t="str">
        <f t="shared" si="267"/>
        <v>VÁLIDA</v>
      </c>
      <c r="AJ38" s="306"/>
      <c r="AK38" s="237">
        <f t="shared" si="268"/>
        <v>0</v>
      </c>
      <c r="AL38" s="238" t="str">
        <f t="shared" si="269"/>
        <v>NO VÁLIDA</v>
      </c>
      <c r="AM38" s="306"/>
      <c r="AN38" s="237">
        <f t="shared" si="270"/>
        <v>0</v>
      </c>
      <c r="AO38" s="238" t="str">
        <f t="shared" si="271"/>
        <v>NO VÁLIDA</v>
      </c>
      <c r="AP38" s="306"/>
      <c r="AQ38" s="237">
        <f t="shared" si="272"/>
        <v>0</v>
      </c>
      <c r="AR38" s="238" t="str">
        <f t="shared" si="273"/>
        <v>NO VÁLIDA</v>
      </c>
      <c r="AS38" s="306">
        <v>871855.17</v>
      </c>
      <c r="AT38" s="237">
        <f t="shared" si="274"/>
        <v>3487421</v>
      </c>
      <c r="AU38" s="238" t="str">
        <f t="shared" si="275"/>
        <v>VÁLIDA</v>
      </c>
      <c r="AV38" s="306"/>
      <c r="AW38" s="237">
        <f t="shared" si="276"/>
        <v>0</v>
      </c>
      <c r="AX38" s="238" t="str">
        <f t="shared" si="277"/>
        <v>NO VÁLIDA</v>
      </c>
      <c r="AY38" s="306">
        <v>879142</v>
      </c>
      <c r="AZ38" s="237">
        <f t="shared" si="278"/>
        <v>3516568</v>
      </c>
      <c r="BA38" s="238" t="str">
        <f t="shared" si="279"/>
        <v>VÁLIDA</v>
      </c>
      <c r="BB38" s="306">
        <v>870000</v>
      </c>
      <c r="BC38" s="237">
        <f t="shared" si="280"/>
        <v>3480000</v>
      </c>
      <c r="BD38" s="238" t="str">
        <f t="shared" si="281"/>
        <v>VÁLIDA</v>
      </c>
      <c r="BE38" s="306">
        <v>879128</v>
      </c>
      <c r="BF38" s="237">
        <f t="shared" si="282"/>
        <v>3516512</v>
      </c>
      <c r="BG38" s="238" t="str">
        <f t="shared" si="283"/>
        <v>VÁLIDA</v>
      </c>
      <c r="BH38" s="306">
        <v>879142</v>
      </c>
      <c r="BI38" s="237">
        <f t="shared" si="284"/>
        <v>3516568</v>
      </c>
      <c r="BJ38" s="238" t="str">
        <f t="shared" si="285"/>
        <v>VÁLIDA</v>
      </c>
      <c r="BK38" s="306">
        <v>859889</v>
      </c>
      <c r="BL38" s="237">
        <f t="shared" si="286"/>
        <v>3439556</v>
      </c>
      <c r="BM38" s="238" t="str">
        <f t="shared" si="287"/>
        <v>VÁLIDA</v>
      </c>
    </row>
    <row r="39" spans="1:66" ht="22.5" customHeight="1" x14ac:dyDescent="0.2">
      <c r="A39" s="11"/>
      <c r="B39" s="156" t="s">
        <v>123</v>
      </c>
      <c r="C39" s="157"/>
      <c r="D39" s="157"/>
      <c r="E39" s="157"/>
      <c r="F39" s="302"/>
      <c r="G39" s="302"/>
      <c r="H39" s="184">
        <f>SUM(H40:H46)</f>
        <v>24239919</v>
      </c>
      <c r="I39" s="305"/>
      <c r="J39" s="186">
        <f>SUM(J40:J46)</f>
        <v>23997484</v>
      </c>
      <c r="K39" s="187"/>
      <c r="L39" s="305"/>
      <c r="M39" s="186">
        <f t="shared" ref="M39" si="288">SUM(M40:M46)</f>
        <v>24169480</v>
      </c>
      <c r="N39" s="187"/>
      <c r="O39" s="305"/>
      <c r="P39" s="186">
        <f t="shared" ref="P39" si="289">SUM(P40:P46)</f>
        <v>0</v>
      </c>
      <c r="Q39" s="187"/>
      <c r="R39" s="305"/>
      <c r="S39" s="186">
        <f t="shared" ref="S39" si="290">SUM(S40:S46)</f>
        <v>24228675</v>
      </c>
      <c r="T39" s="187"/>
      <c r="U39" s="305"/>
      <c r="V39" s="186">
        <f t="shared" ref="V39" si="291">SUM(V40:V46)</f>
        <v>0</v>
      </c>
      <c r="W39" s="187"/>
      <c r="X39" s="305"/>
      <c r="Y39" s="186">
        <f t="shared" ref="Y39" si="292">SUM(Y40:Y46)</f>
        <v>23924764</v>
      </c>
      <c r="Z39" s="187"/>
      <c r="AA39" s="305"/>
      <c r="AB39" s="186">
        <f t="shared" ref="AB39" si="293">SUM(AB40:AB46)</f>
        <v>24070231</v>
      </c>
      <c r="AC39" s="187"/>
      <c r="AD39" s="305"/>
      <c r="AE39" s="186">
        <f t="shared" ref="AE39" si="294">SUM(AE40:AE46)</f>
        <v>0</v>
      </c>
      <c r="AF39" s="187"/>
      <c r="AG39" s="305"/>
      <c r="AH39" s="186">
        <f t="shared" ref="AH39" si="295">SUM(AH40:AH46)</f>
        <v>24239919</v>
      </c>
      <c r="AI39" s="187"/>
      <c r="AJ39" s="305"/>
      <c r="AK39" s="186">
        <f t="shared" ref="AK39" si="296">SUM(AK40:AK46)</f>
        <v>0</v>
      </c>
      <c r="AL39" s="187"/>
      <c r="AM39" s="305"/>
      <c r="AN39" s="186">
        <f t="shared" ref="AN39" si="297">SUM(AN40:AN46)</f>
        <v>0</v>
      </c>
      <c r="AO39" s="187"/>
      <c r="AP39" s="305"/>
      <c r="AQ39" s="186">
        <f t="shared" ref="AQ39" si="298">SUM(AQ40:AQ46)</f>
        <v>0</v>
      </c>
      <c r="AR39" s="187"/>
      <c r="AS39" s="305"/>
      <c r="AT39" s="186">
        <f t="shared" ref="AT39" si="299">SUM(AT40:AT46)</f>
        <v>24029903</v>
      </c>
      <c r="AU39" s="187"/>
      <c r="AV39" s="305"/>
      <c r="AW39" s="186">
        <f t="shared" ref="AW39" si="300">SUM(AW40:AW46)</f>
        <v>0</v>
      </c>
      <c r="AX39" s="187"/>
      <c r="AY39" s="305"/>
      <c r="AZ39" s="186">
        <f t="shared" ref="AZ39" si="301">SUM(AZ40:AZ46)</f>
        <v>24263929</v>
      </c>
      <c r="BA39" s="187"/>
      <c r="BB39" s="305"/>
      <c r="BC39" s="186">
        <f t="shared" ref="BC39" si="302">SUM(BC40:BC46)</f>
        <v>24109480</v>
      </c>
      <c r="BD39" s="187"/>
      <c r="BE39" s="305"/>
      <c r="BF39" s="186">
        <f t="shared" ref="BF39" si="303">SUM(BF40:BF46)</f>
        <v>24239919</v>
      </c>
      <c r="BG39" s="187"/>
      <c r="BH39" s="305"/>
      <c r="BI39" s="186">
        <f t="shared" ref="BI39" si="304">SUM(BI40:BI46)</f>
        <v>24233283</v>
      </c>
      <c r="BJ39" s="187"/>
      <c r="BK39" s="305"/>
      <c r="BL39" s="186">
        <f t="shared" ref="BL39" si="305">SUM(BL40:BL46)</f>
        <v>23709074</v>
      </c>
      <c r="BM39" s="187"/>
    </row>
    <row r="40" spans="1:66" ht="50.45" customHeight="1" x14ac:dyDescent="0.2">
      <c r="A40" s="11"/>
      <c r="B40" s="158" t="s">
        <v>145</v>
      </c>
      <c r="C40" s="159"/>
      <c r="D40" s="290" t="s">
        <v>178</v>
      </c>
      <c r="E40" s="159" t="s">
        <v>154</v>
      </c>
      <c r="F40" s="301">
        <v>17.28</v>
      </c>
      <c r="G40" s="301">
        <v>27647</v>
      </c>
      <c r="H40" s="160">
        <f t="shared" ref="H40:H46" si="306">ROUND(G40*F40,0)</f>
        <v>477740</v>
      </c>
      <c r="I40" s="304">
        <v>27370</v>
      </c>
      <c r="J40" s="161">
        <f t="shared" ref="J40:J46" si="307">ROUND($F40*I40,0)</f>
        <v>472954</v>
      </c>
      <c r="K40" s="162" t="str">
        <f t="shared" ref="K40:K46" si="308">+IF(I40&gt;0,IF(OR(I40&gt;$G40,ROUND(I40,0)&gt;$G40),"NO VÁLIDA","VÁLIDA"),"NO VÁLIDA")</f>
        <v>VÁLIDA</v>
      </c>
      <c r="L40" s="304">
        <v>27000</v>
      </c>
      <c r="M40" s="161">
        <f t="shared" ref="M40:M46" si="309">ROUND($F40*L40,0)</f>
        <v>466560</v>
      </c>
      <c r="N40" s="162" t="str">
        <f t="shared" ref="N40:N46" si="310">+IF(L40&gt;0,IF(OR(L40&gt;$G40,ROUND(L40,0)&gt;$G40),"NO VÁLIDA","VÁLIDA"),"NO VÁLIDA")</f>
        <v>VÁLIDA</v>
      </c>
      <c r="O40" s="304"/>
      <c r="P40" s="161">
        <f t="shared" ref="P40:P46" si="311">ROUND($F40*O40,0)</f>
        <v>0</v>
      </c>
      <c r="Q40" s="162" t="str">
        <f t="shared" ref="Q40:Q46" si="312">+IF(O40&gt;0,IF(OR(O40&gt;$G40,ROUND(O40,0)&gt;$G40),"NO VÁLIDA","VÁLIDA"),"NO VÁLIDA")</f>
        <v>NO VÁLIDA</v>
      </c>
      <c r="R40" s="304">
        <v>27647</v>
      </c>
      <c r="S40" s="161">
        <f t="shared" ref="S40:S46" si="313">ROUND($F40*R40,0)</f>
        <v>477740</v>
      </c>
      <c r="T40" s="162" t="str">
        <f t="shared" ref="T40:T46" si="314">+IF(R40&gt;0,IF(OR(R40&gt;$G40,ROUND(R40,0)&gt;$G40),"NO VÁLIDA","VÁLIDA"),"NO VÁLIDA")</f>
        <v>VÁLIDA</v>
      </c>
      <c r="U40" s="304"/>
      <c r="V40" s="161">
        <f t="shared" ref="V40:V46" si="315">ROUND($F40*U40,0)</f>
        <v>0</v>
      </c>
      <c r="W40" s="162" t="str">
        <f t="shared" ref="W40:W46" si="316">+IF(U40&gt;0,IF(OR(U40&gt;$G40,ROUND(U40,0)&gt;$G40),"NO VÁLIDA","VÁLIDA"),"NO VÁLIDA")</f>
        <v>NO VÁLIDA</v>
      </c>
      <c r="X40" s="304">
        <v>27287</v>
      </c>
      <c r="Y40" s="161">
        <f t="shared" ref="Y40:Y46" si="317">ROUND($F40*X40,0)</f>
        <v>471519</v>
      </c>
      <c r="Z40" s="162" t="str">
        <f t="shared" ref="Z40:Z46" si="318">+IF(X40&gt;0,IF(OR(X40&gt;$G40,ROUND(X40,0)&gt;$G40),"NO VÁLIDA","VÁLIDA"),"NO VÁLIDA")</f>
        <v>VÁLIDA</v>
      </c>
      <c r="AA40" s="304">
        <v>27453.47</v>
      </c>
      <c r="AB40" s="161">
        <f t="shared" ref="AB40:AB46" si="319">ROUND($F40*AA40,0)</f>
        <v>474396</v>
      </c>
      <c r="AC40" s="162" t="str">
        <f t="shared" ref="AC40:AC46" si="320">+IF(AA40&gt;0,IF(OR(AA40&gt;$G40,ROUND(AA40,0)&gt;$G40),"NO VÁLIDA","VÁLIDA"),"NO VÁLIDA")</f>
        <v>VÁLIDA</v>
      </c>
      <c r="AD40" s="304"/>
      <c r="AE40" s="161">
        <f t="shared" ref="AE40:AE46" si="321">ROUND($F40*AD40,0)</f>
        <v>0</v>
      </c>
      <c r="AF40" s="162" t="str">
        <f t="shared" ref="AF40:AF46" si="322">+IF(AD40&gt;0,IF(OR(AD40&gt;$G40,ROUND(AD40,0)&gt;$G40),"NO VÁLIDA","VÁLIDA"),"NO VÁLIDA")</f>
        <v>NO VÁLIDA</v>
      </c>
      <c r="AG40" s="304">
        <v>27647</v>
      </c>
      <c r="AH40" s="161">
        <f t="shared" ref="AH40:AH46" si="323">ROUND($F40*AG40,0)</f>
        <v>477740</v>
      </c>
      <c r="AI40" s="162" t="str">
        <f t="shared" ref="AI40:AI46" si="324">+IF(AG40&gt;0,IF(OR(AG40&gt;$G40,ROUND(AG40,0)&gt;$G40),"NO VÁLIDA","VÁLIDA"),"NO VÁLIDA")</f>
        <v>VÁLIDA</v>
      </c>
      <c r="AJ40" s="304"/>
      <c r="AK40" s="161">
        <f t="shared" ref="AK40:AK46" si="325">ROUND($F40*AJ40,0)</f>
        <v>0</v>
      </c>
      <c r="AL40" s="162" t="str">
        <f t="shared" ref="AL40:AL46" si="326">+IF(AJ40&gt;0,IF(OR(AJ40&gt;$G40,ROUND(AJ40,0)&gt;$G40),"NO VÁLIDA","VÁLIDA"),"NO VÁLIDA")</f>
        <v>NO VÁLIDA</v>
      </c>
      <c r="AM40" s="304"/>
      <c r="AN40" s="161">
        <f t="shared" ref="AN40:AN46" si="327">ROUND($F40*AM40,0)</f>
        <v>0</v>
      </c>
      <c r="AO40" s="162" t="str">
        <f t="shared" ref="AO40:AO46" si="328">+IF(AM40&gt;0,IF(OR(AM40&gt;$G40,ROUND(AM40,0)&gt;$G40),"NO VÁLIDA","VÁLIDA"),"NO VÁLIDA")</f>
        <v>NO VÁLIDA</v>
      </c>
      <c r="AP40" s="304"/>
      <c r="AQ40" s="161">
        <f t="shared" ref="AQ40:AQ46" si="329">ROUND($F40*AP40,0)</f>
        <v>0</v>
      </c>
      <c r="AR40" s="162" t="str">
        <f t="shared" ref="AR40:AR46" si="330">+IF(AP40&gt;0,IF(OR(AP40&gt;$G40,ROUND(AP40,0)&gt;$G40),"NO VÁLIDA","VÁLIDA"),"NO VÁLIDA")</f>
        <v>NO VÁLIDA</v>
      </c>
      <c r="AS40" s="304">
        <v>27418.62</v>
      </c>
      <c r="AT40" s="161">
        <f t="shared" ref="AT40:AT46" si="331">ROUND($F40*AS40,0)</f>
        <v>473794</v>
      </c>
      <c r="AU40" s="162" t="str">
        <f t="shared" ref="AU40:AU46" si="332">+IF(AS40&gt;0,IF(OR(AS40&gt;$G40,ROUND(AS40,0)&gt;$G40),"NO VÁLIDA","VÁLIDA"),"NO VÁLIDA")</f>
        <v>VÁLIDA</v>
      </c>
      <c r="AV40" s="304"/>
      <c r="AW40" s="161">
        <f t="shared" ref="AW40:AW46" si="333">ROUND($F40*AV40,0)</f>
        <v>0</v>
      </c>
      <c r="AX40" s="162" t="str">
        <f t="shared" ref="AX40:AX46" si="334">+IF(AV40&gt;0,IF(OR(AV40&gt;$G40,ROUND(AV40,0)&gt;$G40),"NO VÁLIDA","VÁLIDA"),"NO VÁLIDA")</f>
        <v>NO VÁLIDA</v>
      </c>
      <c r="AY40" s="304">
        <v>27647</v>
      </c>
      <c r="AZ40" s="161">
        <f t="shared" ref="AZ40:AZ46" si="335">ROUND($F40*AY40,0)</f>
        <v>477740</v>
      </c>
      <c r="BA40" s="162" t="str">
        <f t="shared" ref="BA40:BA46" si="336">+IF(AY40&gt;0,IF(OR(AY40&gt;$G40,ROUND(AY40,0)&gt;$G40),"NO VÁLIDA","VÁLIDA"),"NO VÁLIDA")</f>
        <v>VÁLIDA</v>
      </c>
      <c r="BB40" s="304">
        <v>27000</v>
      </c>
      <c r="BC40" s="161">
        <f t="shared" ref="BC40:BC46" si="337">ROUND($F40*BB40,0)</f>
        <v>466560</v>
      </c>
      <c r="BD40" s="162" t="str">
        <f t="shared" ref="BD40:BD46" si="338">+IF(BB40&gt;0,IF(OR(BB40&gt;$G40,ROUND(BB40,0)&gt;$G40),"NO VÁLIDA","VÁLIDA"),"NO VÁLIDA")</f>
        <v>VÁLIDA</v>
      </c>
      <c r="BE40" s="304">
        <v>27647</v>
      </c>
      <c r="BF40" s="161">
        <f t="shared" ref="BF40:BF46" si="339">ROUND($F40*BE40,0)</f>
        <v>477740</v>
      </c>
      <c r="BG40" s="162" t="str">
        <f t="shared" ref="BG40:BG46" si="340">+IF(BE40&gt;0,IF(OR(BE40&gt;$G40,ROUND(BE40,0)&gt;$G40),"NO VÁLIDA","VÁLIDA"),"NO VÁLIDA")</f>
        <v>VÁLIDA</v>
      </c>
      <c r="BH40" s="304">
        <v>27647</v>
      </c>
      <c r="BI40" s="161">
        <f t="shared" ref="BI40:BI46" si="341">ROUND($F40*BH40,0)</f>
        <v>477740</v>
      </c>
      <c r="BJ40" s="162" t="str">
        <f t="shared" ref="BJ40:BJ46" si="342">+IF(BH40&gt;0,IF(OR(BH40&gt;$G40,ROUND(BH40,0)&gt;$G40),"NO VÁLIDA","VÁLIDA"),"NO VÁLIDA")</f>
        <v>VÁLIDA</v>
      </c>
      <c r="BK40" s="304">
        <v>27042</v>
      </c>
      <c r="BL40" s="161">
        <f t="shared" ref="BL40:BL46" si="343">ROUND($F40*BK40,0)</f>
        <v>467286</v>
      </c>
      <c r="BM40" s="162" t="str">
        <f t="shared" ref="BM40:BM46" si="344">+IF(BK40&gt;0,IF(OR(BK40&gt;$G40,ROUND(BK40,0)&gt;$G40),"NO VÁLIDA","VÁLIDA"),"NO VÁLIDA")</f>
        <v>VÁLIDA</v>
      </c>
    </row>
    <row r="41" spans="1:66" ht="40.5" customHeight="1" x14ac:dyDescent="0.2">
      <c r="A41" s="11"/>
      <c r="B41" s="158" t="s">
        <v>146</v>
      </c>
      <c r="C41" s="159"/>
      <c r="D41" s="290" t="s">
        <v>179</v>
      </c>
      <c r="E41" s="159" t="s">
        <v>154</v>
      </c>
      <c r="F41" s="301">
        <v>5.76</v>
      </c>
      <c r="G41" s="301">
        <v>59843</v>
      </c>
      <c r="H41" s="160">
        <f t="shared" ref="H41:H44" si="345">ROUND(G41*F41,0)</f>
        <v>344696</v>
      </c>
      <c r="I41" s="304">
        <v>59244</v>
      </c>
      <c r="J41" s="161">
        <f t="shared" ref="J41:J44" si="346">ROUND($F41*I41,0)</f>
        <v>341245</v>
      </c>
      <c r="K41" s="162" t="str">
        <f t="shared" si="308"/>
        <v>VÁLIDA</v>
      </c>
      <c r="L41" s="304">
        <v>59000</v>
      </c>
      <c r="M41" s="161">
        <f t="shared" si="309"/>
        <v>339840</v>
      </c>
      <c r="N41" s="162" t="str">
        <f t="shared" si="310"/>
        <v>VÁLIDA</v>
      </c>
      <c r="O41" s="304"/>
      <c r="P41" s="161">
        <f t="shared" si="311"/>
        <v>0</v>
      </c>
      <c r="Q41" s="162" t="str">
        <f t="shared" si="312"/>
        <v>NO VÁLIDA</v>
      </c>
      <c r="R41" s="304">
        <v>57891</v>
      </c>
      <c r="S41" s="161">
        <f t="shared" si="313"/>
        <v>333452</v>
      </c>
      <c r="T41" s="162" t="str">
        <f t="shared" si="314"/>
        <v>VÁLIDA</v>
      </c>
      <c r="U41" s="304"/>
      <c r="V41" s="161">
        <f t="shared" si="315"/>
        <v>0</v>
      </c>
      <c r="W41" s="162" t="str">
        <f t="shared" si="316"/>
        <v>NO VÁLIDA</v>
      </c>
      <c r="X41" s="304">
        <v>59065</v>
      </c>
      <c r="Y41" s="161">
        <f t="shared" si="317"/>
        <v>340214</v>
      </c>
      <c r="Z41" s="162" t="str">
        <f t="shared" si="318"/>
        <v>VÁLIDA</v>
      </c>
      <c r="AA41" s="304">
        <v>59424.1</v>
      </c>
      <c r="AB41" s="161">
        <f t="shared" si="319"/>
        <v>342283</v>
      </c>
      <c r="AC41" s="162" t="str">
        <f t="shared" si="320"/>
        <v>VÁLIDA</v>
      </c>
      <c r="AD41" s="304"/>
      <c r="AE41" s="161">
        <f t="shared" si="321"/>
        <v>0</v>
      </c>
      <c r="AF41" s="162" t="str">
        <f t="shared" si="322"/>
        <v>NO VÁLIDA</v>
      </c>
      <c r="AG41" s="304">
        <v>59843</v>
      </c>
      <c r="AH41" s="161">
        <f t="shared" si="323"/>
        <v>344696</v>
      </c>
      <c r="AI41" s="162" t="str">
        <f t="shared" si="324"/>
        <v>VÁLIDA</v>
      </c>
      <c r="AJ41" s="304"/>
      <c r="AK41" s="161">
        <f t="shared" si="325"/>
        <v>0</v>
      </c>
      <c r="AL41" s="162" t="str">
        <f t="shared" si="326"/>
        <v>NO VÁLIDA</v>
      </c>
      <c r="AM41" s="304"/>
      <c r="AN41" s="161">
        <f t="shared" si="327"/>
        <v>0</v>
      </c>
      <c r="AO41" s="162" t="str">
        <f t="shared" si="328"/>
        <v>NO VÁLIDA</v>
      </c>
      <c r="AP41" s="304"/>
      <c r="AQ41" s="161">
        <f t="shared" si="329"/>
        <v>0</v>
      </c>
      <c r="AR41" s="162" t="str">
        <f t="shared" si="330"/>
        <v>NO VÁLIDA</v>
      </c>
      <c r="AS41" s="304">
        <v>59336.98</v>
      </c>
      <c r="AT41" s="161">
        <f t="shared" si="331"/>
        <v>341781</v>
      </c>
      <c r="AU41" s="162" t="str">
        <f t="shared" si="332"/>
        <v>VÁLIDA</v>
      </c>
      <c r="AV41" s="304"/>
      <c r="AW41" s="161">
        <f t="shared" si="333"/>
        <v>0</v>
      </c>
      <c r="AX41" s="162" t="str">
        <f t="shared" si="334"/>
        <v>NO VÁLIDA</v>
      </c>
      <c r="AY41" s="304">
        <v>65726</v>
      </c>
      <c r="AZ41" s="161">
        <f t="shared" si="335"/>
        <v>378582</v>
      </c>
      <c r="BA41" s="162" t="str">
        <f t="shared" si="336"/>
        <v>NO VÁLIDA</v>
      </c>
      <c r="BB41" s="304">
        <v>59000</v>
      </c>
      <c r="BC41" s="161">
        <f t="shared" si="337"/>
        <v>339840</v>
      </c>
      <c r="BD41" s="162" t="str">
        <f t="shared" si="338"/>
        <v>VÁLIDA</v>
      </c>
      <c r="BE41" s="304">
        <v>59843</v>
      </c>
      <c r="BF41" s="161">
        <f t="shared" si="339"/>
        <v>344696</v>
      </c>
      <c r="BG41" s="162" t="str">
        <f t="shared" si="340"/>
        <v>VÁLIDA</v>
      </c>
      <c r="BH41" s="304">
        <v>59843</v>
      </c>
      <c r="BI41" s="161">
        <f t="shared" si="341"/>
        <v>344696</v>
      </c>
      <c r="BJ41" s="162" t="str">
        <f t="shared" si="342"/>
        <v>VÁLIDA</v>
      </c>
      <c r="BK41" s="304">
        <v>58532</v>
      </c>
      <c r="BL41" s="161">
        <f t="shared" si="343"/>
        <v>337144</v>
      </c>
      <c r="BM41" s="162" t="str">
        <f t="shared" si="344"/>
        <v>VÁLIDA</v>
      </c>
    </row>
    <row r="42" spans="1:66" ht="50.45" customHeight="1" x14ac:dyDescent="0.2">
      <c r="A42" s="11"/>
      <c r="B42" s="158" t="s">
        <v>147</v>
      </c>
      <c r="C42" s="159"/>
      <c r="D42" s="290" t="s">
        <v>173</v>
      </c>
      <c r="E42" s="159" t="s">
        <v>154</v>
      </c>
      <c r="F42" s="301">
        <v>4.32</v>
      </c>
      <c r="G42" s="301">
        <v>44396</v>
      </c>
      <c r="H42" s="160">
        <f t="shared" si="345"/>
        <v>191791</v>
      </c>
      <c r="I42" s="304">
        <v>43952</v>
      </c>
      <c r="J42" s="161">
        <f t="shared" si="346"/>
        <v>189873</v>
      </c>
      <c r="K42" s="162" t="str">
        <f t="shared" si="308"/>
        <v>VÁLIDA</v>
      </c>
      <c r="L42" s="304">
        <v>44000</v>
      </c>
      <c r="M42" s="161">
        <f t="shared" si="309"/>
        <v>190080</v>
      </c>
      <c r="N42" s="162" t="str">
        <f t="shared" si="310"/>
        <v>VÁLIDA</v>
      </c>
      <c r="O42" s="304"/>
      <c r="P42" s="161">
        <f t="shared" si="311"/>
        <v>0</v>
      </c>
      <c r="Q42" s="162" t="str">
        <f t="shared" si="312"/>
        <v>NO VÁLIDA</v>
      </c>
      <c r="R42" s="304">
        <v>44396</v>
      </c>
      <c r="S42" s="161">
        <f t="shared" si="313"/>
        <v>191791</v>
      </c>
      <c r="T42" s="162" t="str">
        <f t="shared" si="314"/>
        <v>VÁLIDA</v>
      </c>
      <c r="U42" s="304"/>
      <c r="V42" s="161">
        <f t="shared" si="315"/>
        <v>0</v>
      </c>
      <c r="W42" s="162" t="str">
        <f t="shared" si="316"/>
        <v>NO VÁLIDA</v>
      </c>
      <c r="X42" s="304">
        <v>43818</v>
      </c>
      <c r="Y42" s="161">
        <f t="shared" si="317"/>
        <v>189294</v>
      </c>
      <c r="Z42" s="162" t="str">
        <f t="shared" si="318"/>
        <v>VÁLIDA</v>
      </c>
      <c r="AA42" s="304">
        <v>44083.24</v>
      </c>
      <c r="AB42" s="161">
        <f t="shared" si="319"/>
        <v>190440</v>
      </c>
      <c r="AC42" s="162" t="str">
        <f t="shared" si="320"/>
        <v>VÁLIDA</v>
      </c>
      <c r="AD42" s="304"/>
      <c r="AE42" s="161">
        <f t="shared" si="321"/>
        <v>0</v>
      </c>
      <c r="AF42" s="162" t="str">
        <f t="shared" si="322"/>
        <v>NO VÁLIDA</v>
      </c>
      <c r="AG42" s="304">
        <v>44396</v>
      </c>
      <c r="AH42" s="161">
        <f t="shared" si="323"/>
        <v>191791</v>
      </c>
      <c r="AI42" s="162" t="str">
        <f t="shared" si="324"/>
        <v>VÁLIDA</v>
      </c>
      <c r="AJ42" s="304"/>
      <c r="AK42" s="161">
        <f t="shared" si="325"/>
        <v>0</v>
      </c>
      <c r="AL42" s="162" t="str">
        <f t="shared" si="326"/>
        <v>NO VÁLIDA</v>
      </c>
      <c r="AM42" s="304"/>
      <c r="AN42" s="161">
        <f t="shared" si="327"/>
        <v>0</v>
      </c>
      <c r="AO42" s="162" t="str">
        <f t="shared" si="328"/>
        <v>NO VÁLIDA</v>
      </c>
      <c r="AP42" s="304"/>
      <c r="AQ42" s="161">
        <f t="shared" si="329"/>
        <v>0</v>
      </c>
      <c r="AR42" s="162" t="str">
        <f t="shared" si="330"/>
        <v>NO VÁLIDA</v>
      </c>
      <c r="AS42" s="304">
        <v>44032.93</v>
      </c>
      <c r="AT42" s="161">
        <f t="shared" si="331"/>
        <v>190222</v>
      </c>
      <c r="AU42" s="162" t="str">
        <f t="shared" si="332"/>
        <v>VÁLIDA</v>
      </c>
      <c r="AV42" s="304"/>
      <c r="AW42" s="161">
        <f t="shared" si="333"/>
        <v>0</v>
      </c>
      <c r="AX42" s="162" t="str">
        <f t="shared" si="334"/>
        <v>NO VÁLIDA</v>
      </c>
      <c r="AY42" s="304">
        <v>44396</v>
      </c>
      <c r="AZ42" s="161">
        <f t="shared" si="335"/>
        <v>191791</v>
      </c>
      <c r="BA42" s="162" t="str">
        <f t="shared" si="336"/>
        <v>VÁLIDA</v>
      </c>
      <c r="BB42" s="304">
        <v>44000</v>
      </c>
      <c r="BC42" s="161">
        <f t="shared" si="337"/>
        <v>190080</v>
      </c>
      <c r="BD42" s="162" t="str">
        <f t="shared" si="338"/>
        <v>VÁLIDA</v>
      </c>
      <c r="BE42" s="304">
        <v>44396</v>
      </c>
      <c r="BF42" s="161">
        <f t="shared" si="339"/>
        <v>191791</v>
      </c>
      <c r="BG42" s="162" t="str">
        <f t="shared" si="340"/>
        <v>VÁLIDA</v>
      </c>
      <c r="BH42" s="304">
        <v>42860</v>
      </c>
      <c r="BI42" s="161">
        <f t="shared" si="341"/>
        <v>185155</v>
      </c>
      <c r="BJ42" s="162" t="str">
        <f t="shared" si="342"/>
        <v>VÁLIDA</v>
      </c>
      <c r="BK42" s="304">
        <v>43424</v>
      </c>
      <c r="BL42" s="161">
        <f t="shared" si="343"/>
        <v>187592</v>
      </c>
      <c r="BM42" s="162" t="str">
        <f t="shared" si="344"/>
        <v>VÁLIDA</v>
      </c>
    </row>
    <row r="43" spans="1:66" ht="50.45" customHeight="1" x14ac:dyDescent="0.2">
      <c r="A43" s="11"/>
      <c r="B43" s="158" t="s">
        <v>148</v>
      </c>
      <c r="C43" s="159"/>
      <c r="D43" s="290" t="s">
        <v>180</v>
      </c>
      <c r="E43" s="159" t="s">
        <v>181</v>
      </c>
      <c r="F43" s="301">
        <v>12</v>
      </c>
      <c r="G43" s="301">
        <v>957398</v>
      </c>
      <c r="H43" s="160">
        <f t="shared" si="345"/>
        <v>11488776</v>
      </c>
      <c r="I43" s="304">
        <v>947824</v>
      </c>
      <c r="J43" s="161">
        <f t="shared" si="346"/>
        <v>11373888</v>
      </c>
      <c r="K43" s="162" t="str">
        <f t="shared" si="308"/>
        <v>VÁLIDA</v>
      </c>
      <c r="L43" s="304">
        <v>955000</v>
      </c>
      <c r="M43" s="161">
        <f t="shared" si="309"/>
        <v>11460000</v>
      </c>
      <c r="N43" s="162" t="str">
        <f t="shared" si="310"/>
        <v>VÁLIDA</v>
      </c>
      <c r="O43" s="304"/>
      <c r="P43" s="161">
        <f t="shared" si="311"/>
        <v>0</v>
      </c>
      <c r="Q43" s="162" t="str">
        <f t="shared" si="312"/>
        <v>NO VÁLIDA</v>
      </c>
      <c r="R43" s="304">
        <v>957398</v>
      </c>
      <c r="S43" s="161">
        <f t="shared" si="313"/>
        <v>11488776</v>
      </c>
      <c r="T43" s="162" t="str">
        <f t="shared" si="314"/>
        <v>VÁLIDA</v>
      </c>
      <c r="U43" s="304"/>
      <c r="V43" s="161">
        <f t="shared" si="315"/>
        <v>0</v>
      </c>
      <c r="W43" s="162" t="str">
        <f t="shared" si="316"/>
        <v>NO VÁLIDA</v>
      </c>
      <c r="X43" s="304">
        <v>944951</v>
      </c>
      <c r="Y43" s="161">
        <f t="shared" si="317"/>
        <v>11339412</v>
      </c>
      <c r="Z43" s="162" t="str">
        <f t="shared" si="318"/>
        <v>VÁLIDA</v>
      </c>
      <c r="AA43" s="304">
        <v>950696.21</v>
      </c>
      <c r="AB43" s="161">
        <f t="shared" si="319"/>
        <v>11408355</v>
      </c>
      <c r="AC43" s="162" t="str">
        <f t="shared" si="320"/>
        <v>VÁLIDA</v>
      </c>
      <c r="AD43" s="304"/>
      <c r="AE43" s="161">
        <f t="shared" si="321"/>
        <v>0</v>
      </c>
      <c r="AF43" s="162" t="str">
        <f t="shared" si="322"/>
        <v>NO VÁLIDA</v>
      </c>
      <c r="AG43" s="304">
        <v>957398</v>
      </c>
      <c r="AH43" s="161">
        <f t="shared" si="323"/>
        <v>11488776</v>
      </c>
      <c r="AI43" s="162" t="str">
        <f t="shared" si="324"/>
        <v>VÁLIDA</v>
      </c>
      <c r="AJ43" s="304"/>
      <c r="AK43" s="161">
        <f t="shared" si="325"/>
        <v>0</v>
      </c>
      <c r="AL43" s="162" t="str">
        <f t="shared" si="326"/>
        <v>NO VÁLIDA</v>
      </c>
      <c r="AM43" s="304"/>
      <c r="AN43" s="161">
        <f t="shared" si="327"/>
        <v>0</v>
      </c>
      <c r="AO43" s="162" t="str">
        <f t="shared" si="328"/>
        <v>NO VÁLIDA</v>
      </c>
      <c r="AP43" s="304"/>
      <c r="AQ43" s="161">
        <f t="shared" si="329"/>
        <v>0</v>
      </c>
      <c r="AR43" s="162" t="str">
        <f t="shared" si="330"/>
        <v>NO VÁLIDA</v>
      </c>
      <c r="AS43" s="304">
        <v>948856.15</v>
      </c>
      <c r="AT43" s="161">
        <f t="shared" si="331"/>
        <v>11386274</v>
      </c>
      <c r="AU43" s="162" t="str">
        <f t="shared" si="332"/>
        <v>VÁLIDA</v>
      </c>
      <c r="AV43" s="304"/>
      <c r="AW43" s="161">
        <f t="shared" si="333"/>
        <v>0</v>
      </c>
      <c r="AX43" s="162" t="str">
        <f t="shared" si="334"/>
        <v>NO VÁLIDA</v>
      </c>
      <c r="AY43" s="304">
        <v>957398</v>
      </c>
      <c r="AZ43" s="161">
        <f t="shared" si="335"/>
        <v>11488776</v>
      </c>
      <c r="BA43" s="162" t="str">
        <f t="shared" si="336"/>
        <v>VÁLIDA</v>
      </c>
      <c r="BB43" s="304">
        <v>950000</v>
      </c>
      <c r="BC43" s="161">
        <f t="shared" si="337"/>
        <v>11400000</v>
      </c>
      <c r="BD43" s="162" t="str">
        <f t="shared" si="338"/>
        <v>VÁLIDA</v>
      </c>
      <c r="BE43" s="304">
        <v>957398</v>
      </c>
      <c r="BF43" s="161">
        <f t="shared" si="339"/>
        <v>11488776</v>
      </c>
      <c r="BG43" s="162" t="str">
        <f t="shared" si="340"/>
        <v>VÁLIDA</v>
      </c>
      <c r="BH43" s="304">
        <v>957398</v>
      </c>
      <c r="BI43" s="161">
        <f t="shared" si="341"/>
        <v>11488776</v>
      </c>
      <c r="BJ43" s="162" t="str">
        <f t="shared" si="342"/>
        <v>VÁLIDA</v>
      </c>
      <c r="BK43" s="304">
        <v>936431</v>
      </c>
      <c r="BL43" s="161">
        <f t="shared" si="343"/>
        <v>11237172</v>
      </c>
      <c r="BM43" s="162" t="str">
        <f t="shared" si="344"/>
        <v>VÁLIDA</v>
      </c>
    </row>
    <row r="44" spans="1:66" ht="50.45" customHeight="1" x14ac:dyDescent="0.2">
      <c r="A44" s="11"/>
      <c r="B44" s="158" t="s">
        <v>149</v>
      </c>
      <c r="C44" s="159"/>
      <c r="D44" s="290" t="s">
        <v>182</v>
      </c>
      <c r="E44" s="159" t="s">
        <v>183</v>
      </c>
      <c r="F44" s="301">
        <v>6</v>
      </c>
      <c r="G44" s="301">
        <v>1243370</v>
      </c>
      <c r="H44" s="160">
        <f t="shared" si="345"/>
        <v>7460220</v>
      </c>
      <c r="I44" s="304">
        <v>1230936</v>
      </c>
      <c r="J44" s="161">
        <f t="shared" si="346"/>
        <v>7385616</v>
      </c>
      <c r="K44" s="162" t="str">
        <f t="shared" si="308"/>
        <v>VÁLIDA</v>
      </c>
      <c r="L44" s="304">
        <v>1240000</v>
      </c>
      <c r="M44" s="161">
        <f t="shared" si="309"/>
        <v>7440000</v>
      </c>
      <c r="N44" s="162" t="str">
        <f t="shared" si="310"/>
        <v>VÁLIDA</v>
      </c>
      <c r="O44" s="304"/>
      <c r="P44" s="161">
        <f t="shared" si="311"/>
        <v>0</v>
      </c>
      <c r="Q44" s="162" t="str">
        <f t="shared" si="312"/>
        <v>NO VÁLIDA</v>
      </c>
      <c r="R44" s="304">
        <v>1243370</v>
      </c>
      <c r="S44" s="161">
        <f t="shared" si="313"/>
        <v>7460220</v>
      </c>
      <c r="T44" s="162" t="str">
        <f t="shared" si="314"/>
        <v>VÁLIDA</v>
      </c>
      <c r="U44" s="304"/>
      <c r="V44" s="161">
        <f t="shared" si="315"/>
        <v>0</v>
      </c>
      <c r="W44" s="162" t="str">
        <f t="shared" si="316"/>
        <v>NO VÁLIDA</v>
      </c>
      <c r="X44" s="304">
        <v>1227206</v>
      </c>
      <c r="Y44" s="161">
        <f t="shared" si="317"/>
        <v>7363236</v>
      </c>
      <c r="Z44" s="162" t="str">
        <f t="shared" si="318"/>
        <v>VÁLIDA</v>
      </c>
      <c r="AA44" s="304">
        <v>1234666.4099999999</v>
      </c>
      <c r="AB44" s="161">
        <f t="shared" si="319"/>
        <v>7407998</v>
      </c>
      <c r="AC44" s="162" t="str">
        <f t="shared" si="320"/>
        <v>VÁLIDA</v>
      </c>
      <c r="AD44" s="304"/>
      <c r="AE44" s="161">
        <f t="shared" si="321"/>
        <v>0</v>
      </c>
      <c r="AF44" s="162" t="str">
        <f t="shared" si="322"/>
        <v>NO VÁLIDA</v>
      </c>
      <c r="AG44" s="304">
        <v>1243370</v>
      </c>
      <c r="AH44" s="161">
        <f t="shared" si="323"/>
        <v>7460220</v>
      </c>
      <c r="AI44" s="162" t="str">
        <f t="shared" si="324"/>
        <v>VÁLIDA</v>
      </c>
      <c r="AJ44" s="304"/>
      <c r="AK44" s="161">
        <f t="shared" si="325"/>
        <v>0</v>
      </c>
      <c r="AL44" s="162" t="str">
        <f t="shared" si="326"/>
        <v>NO VÁLIDA</v>
      </c>
      <c r="AM44" s="304"/>
      <c r="AN44" s="161">
        <f t="shared" si="327"/>
        <v>0</v>
      </c>
      <c r="AO44" s="162" t="str">
        <f t="shared" si="328"/>
        <v>NO VÁLIDA</v>
      </c>
      <c r="AP44" s="304"/>
      <c r="AQ44" s="161">
        <f t="shared" si="329"/>
        <v>0</v>
      </c>
      <c r="AR44" s="162" t="str">
        <f t="shared" si="330"/>
        <v>NO VÁLIDA</v>
      </c>
      <c r="AS44" s="304">
        <v>1232398.28</v>
      </c>
      <c r="AT44" s="161">
        <f t="shared" si="331"/>
        <v>7394390</v>
      </c>
      <c r="AU44" s="162" t="str">
        <f t="shared" si="332"/>
        <v>VÁLIDA</v>
      </c>
      <c r="AV44" s="304"/>
      <c r="AW44" s="161">
        <f t="shared" si="333"/>
        <v>0</v>
      </c>
      <c r="AX44" s="162" t="str">
        <f t="shared" si="334"/>
        <v>NO VÁLIDA</v>
      </c>
      <c r="AY44" s="304">
        <v>1241724</v>
      </c>
      <c r="AZ44" s="161">
        <f t="shared" si="335"/>
        <v>7450344</v>
      </c>
      <c r="BA44" s="162" t="str">
        <f t="shared" si="336"/>
        <v>VÁLIDA</v>
      </c>
      <c r="BB44" s="304">
        <v>1240000</v>
      </c>
      <c r="BC44" s="161">
        <f t="shared" si="337"/>
        <v>7440000</v>
      </c>
      <c r="BD44" s="162" t="str">
        <f t="shared" si="338"/>
        <v>VÁLIDA</v>
      </c>
      <c r="BE44" s="304">
        <v>1243370</v>
      </c>
      <c r="BF44" s="161">
        <f t="shared" si="339"/>
        <v>7460220</v>
      </c>
      <c r="BG44" s="162" t="str">
        <f t="shared" si="340"/>
        <v>VÁLIDA</v>
      </c>
      <c r="BH44" s="304">
        <v>1243370</v>
      </c>
      <c r="BI44" s="161">
        <f t="shared" si="341"/>
        <v>7460220</v>
      </c>
      <c r="BJ44" s="162" t="str">
        <f t="shared" si="342"/>
        <v>VÁLIDA</v>
      </c>
      <c r="BK44" s="304">
        <v>1216140</v>
      </c>
      <c r="BL44" s="161">
        <f t="shared" si="343"/>
        <v>7296840</v>
      </c>
      <c r="BM44" s="162" t="str">
        <f t="shared" si="344"/>
        <v>VÁLIDA</v>
      </c>
    </row>
    <row r="45" spans="1:66" ht="50.45" customHeight="1" x14ac:dyDescent="0.2">
      <c r="A45" s="11"/>
      <c r="B45" s="158" t="s">
        <v>150</v>
      </c>
      <c r="C45" s="159"/>
      <c r="D45" s="290" t="s">
        <v>184</v>
      </c>
      <c r="E45" s="159" t="s">
        <v>183</v>
      </c>
      <c r="F45" s="301">
        <v>7</v>
      </c>
      <c r="G45" s="301">
        <v>535154</v>
      </c>
      <c r="H45" s="160">
        <f t="shared" si="306"/>
        <v>3746078</v>
      </c>
      <c r="I45" s="304">
        <v>529802</v>
      </c>
      <c r="J45" s="161">
        <f t="shared" si="307"/>
        <v>3708614</v>
      </c>
      <c r="K45" s="162" t="str">
        <f t="shared" si="308"/>
        <v>VÁLIDA</v>
      </c>
      <c r="L45" s="304">
        <v>535000</v>
      </c>
      <c r="M45" s="161">
        <f t="shared" si="309"/>
        <v>3745000</v>
      </c>
      <c r="N45" s="162" t="str">
        <f t="shared" si="310"/>
        <v>VÁLIDA</v>
      </c>
      <c r="O45" s="304"/>
      <c r="P45" s="161">
        <f t="shared" si="311"/>
        <v>0</v>
      </c>
      <c r="Q45" s="162" t="str">
        <f t="shared" si="312"/>
        <v>NO VÁLIDA</v>
      </c>
      <c r="R45" s="304">
        <v>535154</v>
      </c>
      <c r="S45" s="161">
        <f t="shared" si="313"/>
        <v>3746078</v>
      </c>
      <c r="T45" s="162" t="str">
        <f t="shared" si="314"/>
        <v>VÁLIDA</v>
      </c>
      <c r="U45" s="304"/>
      <c r="V45" s="161">
        <f t="shared" si="315"/>
        <v>0</v>
      </c>
      <c r="W45" s="162" t="str">
        <f t="shared" si="316"/>
        <v>NO VÁLIDA</v>
      </c>
      <c r="X45" s="304">
        <v>528197</v>
      </c>
      <c r="Y45" s="161">
        <f t="shared" si="317"/>
        <v>3697379</v>
      </c>
      <c r="Z45" s="162" t="str">
        <f t="shared" si="318"/>
        <v>VÁLIDA</v>
      </c>
      <c r="AA45" s="304">
        <v>531407.92000000004</v>
      </c>
      <c r="AB45" s="161">
        <f t="shared" si="319"/>
        <v>3719855</v>
      </c>
      <c r="AC45" s="162" t="str">
        <f t="shared" si="320"/>
        <v>VÁLIDA</v>
      </c>
      <c r="AD45" s="304"/>
      <c r="AE45" s="161">
        <f t="shared" si="321"/>
        <v>0</v>
      </c>
      <c r="AF45" s="162" t="str">
        <f t="shared" si="322"/>
        <v>NO VÁLIDA</v>
      </c>
      <c r="AG45" s="304">
        <v>535154</v>
      </c>
      <c r="AH45" s="161">
        <f t="shared" si="323"/>
        <v>3746078</v>
      </c>
      <c r="AI45" s="162" t="str">
        <f t="shared" si="324"/>
        <v>VÁLIDA</v>
      </c>
      <c r="AJ45" s="304"/>
      <c r="AK45" s="161">
        <f t="shared" si="325"/>
        <v>0</v>
      </c>
      <c r="AL45" s="162" t="str">
        <f t="shared" si="326"/>
        <v>NO VÁLIDA</v>
      </c>
      <c r="AM45" s="304"/>
      <c r="AN45" s="161">
        <f t="shared" si="327"/>
        <v>0</v>
      </c>
      <c r="AO45" s="162" t="str">
        <f t="shared" si="328"/>
        <v>NO VÁLIDA</v>
      </c>
      <c r="AP45" s="304"/>
      <c r="AQ45" s="161">
        <f t="shared" si="329"/>
        <v>0</v>
      </c>
      <c r="AR45" s="162" t="str">
        <f t="shared" si="330"/>
        <v>NO VÁLIDA</v>
      </c>
      <c r="AS45" s="304">
        <v>530580.71</v>
      </c>
      <c r="AT45" s="161">
        <f t="shared" si="331"/>
        <v>3714065</v>
      </c>
      <c r="AU45" s="162" t="str">
        <f t="shared" si="332"/>
        <v>VÁLIDA</v>
      </c>
      <c r="AV45" s="304"/>
      <c r="AW45" s="161">
        <f t="shared" si="333"/>
        <v>0</v>
      </c>
      <c r="AX45" s="162" t="str">
        <f t="shared" si="334"/>
        <v>NO VÁLIDA</v>
      </c>
      <c r="AY45" s="304">
        <v>535154</v>
      </c>
      <c r="AZ45" s="161">
        <f t="shared" si="335"/>
        <v>3746078</v>
      </c>
      <c r="BA45" s="162" t="str">
        <f t="shared" si="336"/>
        <v>VÁLIDA</v>
      </c>
      <c r="BB45" s="304">
        <v>535000</v>
      </c>
      <c r="BC45" s="161">
        <f t="shared" si="337"/>
        <v>3745000</v>
      </c>
      <c r="BD45" s="162" t="str">
        <f t="shared" si="338"/>
        <v>VÁLIDA</v>
      </c>
      <c r="BE45" s="304">
        <v>535154</v>
      </c>
      <c r="BF45" s="161">
        <f t="shared" si="339"/>
        <v>3746078</v>
      </c>
      <c r="BG45" s="162" t="str">
        <f t="shared" si="340"/>
        <v>VÁLIDA</v>
      </c>
      <c r="BH45" s="304">
        <v>535154</v>
      </c>
      <c r="BI45" s="161">
        <f t="shared" si="341"/>
        <v>3746078</v>
      </c>
      <c r="BJ45" s="162" t="str">
        <f t="shared" si="342"/>
        <v>VÁLIDA</v>
      </c>
      <c r="BK45" s="304">
        <v>523434</v>
      </c>
      <c r="BL45" s="161">
        <f t="shared" si="343"/>
        <v>3664038</v>
      </c>
      <c r="BM45" s="162" t="str">
        <f t="shared" si="344"/>
        <v>VÁLIDA</v>
      </c>
    </row>
    <row r="46" spans="1:66" ht="40.5" customHeight="1" thickBot="1" x14ac:dyDescent="0.25">
      <c r="A46" s="11"/>
      <c r="B46" s="291" t="s">
        <v>151</v>
      </c>
      <c r="C46" s="292"/>
      <c r="D46" s="293" t="s">
        <v>185</v>
      </c>
      <c r="E46" s="292" t="s">
        <v>183</v>
      </c>
      <c r="F46" s="303">
        <v>22</v>
      </c>
      <c r="G46" s="303">
        <v>24119</v>
      </c>
      <c r="H46" s="294">
        <f t="shared" si="306"/>
        <v>530618</v>
      </c>
      <c r="I46" s="306">
        <v>23877</v>
      </c>
      <c r="J46" s="237">
        <f t="shared" si="307"/>
        <v>525294</v>
      </c>
      <c r="K46" s="238" t="str">
        <f t="shared" si="308"/>
        <v>VÁLIDA</v>
      </c>
      <c r="L46" s="306">
        <v>24000</v>
      </c>
      <c r="M46" s="237">
        <f t="shared" si="309"/>
        <v>528000</v>
      </c>
      <c r="N46" s="238" t="str">
        <f t="shared" si="310"/>
        <v>VÁLIDA</v>
      </c>
      <c r="O46" s="306"/>
      <c r="P46" s="237">
        <f t="shared" si="311"/>
        <v>0</v>
      </c>
      <c r="Q46" s="238" t="str">
        <f t="shared" si="312"/>
        <v>NO VÁLIDA</v>
      </c>
      <c r="R46" s="306">
        <v>24119</v>
      </c>
      <c r="S46" s="237">
        <f t="shared" si="313"/>
        <v>530618</v>
      </c>
      <c r="T46" s="238" t="str">
        <f t="shared" si="314"/>
        <v>VÁLIDA</v>
      </c>
      <c r="U46" s="306"/>
      <c r="V46" s="237">
        <f t="shared" si="315"/>
        <v>0</v>
      </c>
      <c r="W46" s="238" t="str">
        <f t="shared" si="316"/>
        <v>NO VÁLIDA</v>
      </c>
      <c r="X46" s="306">
        <v>23805</v>
      </c>
      <c r="Y46" s="237">
        <f t="shared" si="317"/>
        <v>523710</v>
      </c>
      <c r="Z46" s="238" t="str">
        <f t="shared" si="318"/>
        <v>VÁLIDA</v>
      </c>
      <c r="AA46" s="306">
        <v>23950.17</v>
      </c>
      <c r="AB46" s="237">
        <f t="shared" si="319"/>
        <v>526904</v>
      </c>
      <c r="AC46" s="238" t="str">
        <f t="shared" si="320"/>
        <v>VÁLIDA</v>
      </c>
      <c r="AD46" s="306"/>
      <c r="AE46" s="237">
        <f t="shared" si="321"/>
        <v>0</v>
      </c>
      <c r="AF46" s="238" t="str">
        <f t="shared" si="322"/>
        <v>NO VÁLIDA</v>
      </c>
      <c r="AG46" s="306">
        <v>24119</v>
      </c>
      <c r="AH46" s="237">
        <f t="shared" si="323"/>
        <v>530618</v>
      </c>
      <c r="AI46" s="238" t="str">
        <f t="shared" si="324"/>
        <v>VÁLIDA</v>
      </c>
      <c r="AJ46" s="306"/>
      <c r="AK46" s="237">
        <f t="shared" si="325"/>
        <v>0</v>
      </c>
      <c r="AL46" s="238" t="str">
        <f t="shared" si="326"/>
        <v>NO VÁLIDA</v>
      </c>
      <c r="AM46" s="306"/>
      <c r="AN46" s="237">
        <f t="shared" si="327"/>
        <v>0</v>
      </c>
      <c r="AO46" s="238" t="str">
        <f t="shared" si="328"/>
        <v>NO VÁLIDA</v>
      </c>
      <c r="AP46" s="306"/>
      <c r="AQ46" s="237">
        <f t="shared" si="329"/>
        <v>0</v>
      </c>
      <c r="AR46" s="238" t="str">
        <f t="shared" si="330"/>
        <v>NO VÁLIDA</v>
      </c>
      <c r="AS46" s="306">
        <v>24062.59</v>
      </c>
      <c r="AT46" s="237">
        <f t="shared" si="331"/>
        <v>529377</v>
      </c>
      <c r="AU46" s="238" t="str">
        <f t="shared" si="332"/>
        <v>VÁLIDA</v>
      </c>
      <c r="AV46" s="306"/>
      <c r="AW46" s="237">
        <f t="shared" si="333"/>
        <v>0</v>
      </c>
      <c r="AX46" s="238" t="str">
        <f t="shared" si="334"/>
        <v>NO VÁLIDA</v>
      </c>
      <c r="AY46" s="306">
        <v>24119</v>
      </c>
      <c r="AZ46" s="237">
        <f t="shared" si="335"/>
        <v>530618</v>
      </c>
      <c r="BA46" s="238" t="str">
        <f t="shared" si="336"/>
        <v>VÁLIDA</v>
      </c>
      <c r="BB46" s="306">
        <v>24000</v>
      </c>
      <c r="BC46" s="237">
        <f t="shared" si="337"/>
        <v>528000</v>
      </c>
      <c r="BD46" s="238" t="str">
        <f t="shared" si="338"/>
        <v>VÁLIDA</v>
      </c>
      <c r="BE46" s="306">
        <v>24119</v>
      </c>
      <c r="BF46" s="237">
        <f t="shared" si="339"/>
        <v>530618</v>
      </c>
      <c r="BG46" s="238" t="str">
        <f t="shared" si="340"/>
        <v>VÁLIDA</v>
      </c>
      <c r="BH46" s="306">
        <v>24119</v>
      </c>
      <c r="BI46" s="237">
        <f t="shared" si="341"/>
        <v>530618</v>
      </c>
      <c r="BJ46" s="238" t="str">
        <f t="shared" si="342"/>
        <v>VÁLIDA</v>
      </c>
      <c r="BK46" s="306">
        <v>23591</v>
      </c>
      <c r="BL46" s="237">
        <f t="shared" si="343"/>
        <v>519002</v>
      </c>
      <c r="BM46" s="238" t="str">
        <f t="shared" si="344"/>
        <v>VÁLIDA</v>
      </c>
    </row>
    <row r="47" spans="1:66" s="40" customFormat="1" ht="32.25" customHeight="1" x14ac:dyDescent="0.2">
      <c r="A47" s="39"/>
      <c r="B47" s="295"/>
      <c r="C47" s="296"/>
      <c r="D47" s="297"/>
      <c r="E47" s="296"/>
      <c r="F47" s="298"/>
      <c r="G47" s="298" t="s">
        <v>107</v>
      </c>
      <c r="H47" s="299">
        <f>ROUND(SUM(H14,H19,H22,H27,H36,H39),0)</f>
        <v>1229051041</v>
      </c>
      <c r="I47" s="163"/>
      <c r="J47" s="261">
        <f>ROUND(SUM(J14,J19,J22,J27,J36,J39),0)</f>
        <v>1216759496</v>
      </c>
      <c r="K47" s="166"/>
      <c r="L47" s="163"/>
      <c r="M47" s="261">
        <f t="shared" ref="M47" si="347">ROUND(SUM(M14,M19,M22,M27,M36,M39),0)</f>
        <v>1202774990</v>
      </c>
      <c r="N47" s="166"/>
      <c r="O47" s="163"/>
      <c r="P47" s="261">
        <f t="shared" ref="P47" si="348">ROUND(SUM(P14,P19,P22,P27,P36,P39),0)</f>
        <v>0</v>
      </c>
      <c r="Q47" s="166"/>
      <c r="R47" s="163"/>
      <c r="S47" s="261">
        <f t="shared" ref="S47" si="349">ROUND(SUM(S14,S19,S22,S27,S36,S39),0)</f>
        <v>1216624410</v>
      </c>
      <c r="T47" s="166"/>
      <c r="U47" s="163"/>
      <c r="V47" s="261">
        <f t="shared" ref="V47" si="350">ROUND(SUM(V14,V19,V22,V27,V36,V39),0)</f>
        <v>0</v>
      </c>
      <c r="W47" s="166"/>
      <c r="X47" s="163"/>
      <c r="Y47" s="261">
        <f t="shared" ref="Y47" si="351">ROUND(SUM(Y14,Y19,Y22,Y27,Y36,Y39),0)</f>
        <v>1213068275</v>
      </c>
      <c r="Z47" s="166"/>
      <c r="AA47" s="163"/>
      <c r="AB47" s="261">
        <f t="shared" ref="AB47" si="352">ROUND(SUM(AB14,AB19,AB22,AB27,AB36,AB39),0)</f>
        <v>1220439379</v>
      </c>
      <c r="AC47" s="166"/>
      <c r="AD47" s="163"/>
      <c r="AE47" s="261">
        <f t="shared" ref="AE47" si="353">ROUND(SUM(AE14,AE19,AE22,AE27,AE36,AE39),0)</f>
        <v>0</v>
      </c>
      <c r="AF47" s="166"/>
      <c r="AG47" s="163"/>
      <c r="AH47" s="261">
        <f t="shared" ref="AH47" si="354">ROUND(SUM(AH14,AH19,AH22,AH27,AH36,AH39),0)</f>
        <v>1213372633</v>
      </c>
      <c r="AI47" s="166"/>
      <c r="AJ47" s="163"/>
      <c r="AK47" s="261">
        <f t="shared" ref="AK47" si="355">ROUND(SUM(AK14,AK19,AK22,AK27,AK36,AK39),0)</f>
        <v>0</v>
      </c>
      <c r="AL47" s="166"/>
      <c r="AM47" s="163"/>
      <c r="AN47" s="261">
        <f t="shared" ref="AN47" si="356">ROUND(SUM(AN14,AN19,AN22,AN27,AN36,AN39),0)</f>
        <v>0</v>
      </c>
      <c r="AO47" s="166"/>
      <c r="AP47" s="163"/>
      <c r="AQ47" s="261">
        <f t="shared" ref="AQ47" si="357">ROUND(SUM(AQ14,AQ19,AQ22,AQ27,AQ36,AQ39),0)</f>
        <v>0</v>
      </c>
      <c r="AR47" s="166"/>
      <c r="AS47" s="163"/>
      <c r="AT47" s="261">
        <f t="shared" ref="AT47" si="358">ROUND(SUM(AT14,AT19,AT22,AT27,AT36,AT39),0)</f>
        <v>1217592086</v>
      </c>
      <c r="AU47" s="166"/>
      <c r="AV47" s="163"/>
      <c r="AW47" s="261">
        <f t="shared" ref="AW47" si="359">ROUND(SUM(AW14,AW19,AW22,AW27,AW36,AW39),0)</f>
        <v>0</v>
      </c>
      <c r="AX47" s="166"/>
      <c r="AY47" s="163"/>
      <c r="AZ47" s="261">
        <f t="shared" ref="AZ47" si="360">ROUND(SUM(AZ14,AZ19,AZ22,AZ27,AZ36,AZ39),0)</f>
        <v>1211241283</v>
      </c>
      <c r="BA47" s="166"/>
      <c r="BB47" s="163"/>
      <c r="BC47" s="261">
        <f t="shared" ref="BC47" si="361">ROUND(SUM(BC14,BC19,BC22,BC27,BC36,BC39),0)</f>
        <v>1203465176</v>
      </c>
      <c r="BD47" s="166"/>
      <c r="BE47" s="163"/>
      <c r="BF47" s="261">
        <f t="shared" ref="BF47" si="362">ROUND(SUM(BF14,BF19,BF22,BF27,BF36,BF39),0)</f>
        <v>1214989806</v>
      </c>
      <c r="BG47" s="166"/>
      <c r="BH47" s="163"/>
      <c r="BI47" s="261">
        <f t="shared" ref="BI47" si="363">ROUND(SUM(BI14,BI19,BI22,BI27,BI36,BI39),0)</f>
        <v>1213946748</v>
      </c>
      <c r="BJ47" s="166"/>
      <c r="BK47" s="163"/>
      <c r="BL47" s="261">
        <f t="shared" ref="BL47" si="364">ROUND(SUM(BL14,BL19,BL22,BL27,BL36,BL39),0)</f>
        <v>1202133577</v>
      </c>
      <c r="BM47" s="166"/>
      <c r="BN47"/>
    </row>
    <row r="48" spans="1:66" s="40" customFormat="1" ht="32.25" customHeight="1" x14ac:dyDescent="0.2">
      <c r="A48" s="39"/>
      <c r="B48" s="363" t="s">
        <v>108</v>
      </c>
      <c r="C48" s="364"/>
      <c r="D48" s="364"/>
      <c r="E48" s="364"/>
      <c r="F48" s="365"/>
      <c r="G48" s="252">
        <v>0.26</v>
      </c>
      <c r="H48" s="235">
        <f>ROUND($H$47*G48,0)</f>
        <v>319553271</v>
      </c>
      <c r="I48" s="265">
        <v>0.26</v>
      </c>
      <c r="J48" s="235">
        <f>ROUND(J47*I48,0)</f>
        <v>316357469</v>
      </c>
      <c r="K48" s="164"/>
      <c r="L48" s="265">
        <v>0.26</v>
      </c>
      <c r="M48" s="235">
        <f t="shared" ref="M48" si="365">ROUND(M47*L48,0)</f>
        <v>312721497</v>
      </c>
      <c r="N48" s="164"/>
      <c r="O48" s="265"/>
      <c r="P48" s="235">
        <f t="shared" ref="P48" si="366">ROUND(P47*O48,0)</f>
        <v>0</v>
      </c>
      <c r="Q48" s="164"/>
      <c r="R48" s="265">
        <v>0.26</v>
      </c>
      <c r="S48" s="235">
        <f t="shared" ref="S48" si="367">ROUND(S47*R48,0)</f>
        <v>316322347</v>
      </c>
      <c r="T48" s="164"/>
      <c r="U48" s="265"/>
      <c r="V48" s="235">
        <f t="shared" ref="V48" si="368">ROUND(V47*U48,0)</f>
        <v>0</v>
      </c>
      <c r="W48" s="164"/>
      <c r="X48" s="265">
        <v>0.26</v>
      </c>
      <c r="Y48" s="235">
        <f t="shared" ref="Y48" si="369">ROUND(Y47*X48,0)</f>
        <v>315397752</v>
      </c>
      <c r="Z48" s="164"/>
      <c r="AA48" s="265">
        <v>0.26</v>
      </c>
      <c r="AB48" s="235">
        <f t="shared" ref="AB48" si="370">ROUND(AB47*AA48,0)</f>
        <v>317314239</v>
      </c>
      <c r="AC48" s="164"/>
      <c r="AD48" s="265"/>
      <c r="AE48" s="235">
        <f t="shared" ref="AE48" si="371">ROUND(AE47*AD48,0)</f>
        <v>0</v>
      </c>
      <c r="AF48" s="164"/>
      <c r="AG48" s="265">
        <v>0.28000000000000003</v>
      </c>
      <c r="AH48" s="235">
        <f t="shared" ref="AH48" si="372">ROUND(AH47*AG48,0)</f>
        <v>339744337</v>
      </c>
      <c r="AI48" s="164"/>
      <c r="AJ48" s="265"/>
      <c r="AK48" s="235">
        <f t="shared" ref="AK48" si="373">ROUND(AK47*AJ48,0)</f>
        <v>0</v>
      </c>
      <c r="AL48" s="164"/>
      <c r="AM48" s="265"/>
      <c r="AN48" s="235">
        <f t="shared" ref="AN48" si="374">ROUND(AN47*AM48,0)</f>
        <v>0</v>
      </c>
      <c r="AO48" s="164"/>
      <c r="AP48" s="265"/>
      <c r="AQ48" s="235">
        <f t="shared" ref="AQ48" si="375">ROUND(AQ47*AP48,0)</f>
        <v>0</v>
      </c>
      <c r="AR48" s="164"/>
      <c r="AS48" s="265">
        <v>0.26</v>
      </c>
      <c r="AT48" s="235">
        <f t="shared" ref="AT48" si="376">ROUND(AT47*AS48,0)</f>
        <v>316573942</v>
      </c>
      <c r="AU48" s="164"/>
      <c r="AV48" s="265"/>
      <c r="AW48" s="235">
        <f t="shared" ref="AW48" si="377">ROUND(AW47*AV48,0)</f>
        <v>0</v>
      </c>
      <c r="AX48" s="164"/>
      <c r="AY48" s="265">
        <v>0.26</v>
      </c>
      <c r="AZ48" s="235">
        <f t="shared" ref="AZ48" si="378">ROUND(AZ47*AY48,0)</f>
        <v>314922734</v>
      </c>
      <c r="BA48" s="164"/>
      <c r="BB48" s="265">
        <v>0.26</v>
      </c>
      <c r="BC48" s="235">
        <f t="shared" ref="BC48" si="379">ROUND(BC47*BB48,0)</f>
        <v>312900946</v>
      </c>
      <c r="BD48" s="164"/>
      <c r="BE48" s="265">
        <v>0.26</v>
      </c>
      <c r="BF48" s="235">
        <f t="shared" ref="BF48" si="380">ROUND(BF47*BE48,0)</f>
        <v>315897350</v>
      </c>
      <c r="BG48" s="164"/>
      <c r="BH48" s="265">
        <v>0.26</v>
      </c>
      <c r="BI48" s="235">
        <f t="shared" ref="BI48" si="381">ROUND(BI47*BH48,0)</f>
        <v>315626154</v>
      </c>
      <c r="BJ48" s="164"/>
      <c r="BK48" s="265">
        <v>0.26</v>
      </c>
      <c r="BL48" s="235">
        <f t="shared" ref="BL48" si="382">ROUND(BL47*BK48,0)</f>
        <v>312554730</v>
      </c>
      <c r="BM48" s="164"/>
      <c r="BN48"/>
    </row>
    <row r="49" spans="1:66" s="40" customFormat="1" ht="32.25" customHeight="1" x14ac:dyDescent="0.2">
      <c r="A49" s="39"/>
      <c r="B49" s="363" t="s">
        <v>109</v>
      </c>
      <c r="C49" s="364"/>
      <c r="D49" s="364"/>
      <c r="E49" s="364"/>
      <c r="F49" s="365"/>
      <c r="G49" s="252">
        <v>0.05</v>
      </c>
      <c r="H49" s="235">
        <f t="shared" ref="H49" si="383">ROUND($H$47*G49,0)</f>
        <v>61452552</v>
      </c>
      <c r="I49" s="266">
        <v>0.05</v>
      </c>
      <c r="J49" s="235">
        <f>ROUND(J47*I49,0)</f>
        <v>60837975</v>
      </c>
      <c r="K49" s="165"/>
      <c r="L49" s="266">
        <v>0.05</v>
      </c>
      <c r="M49" s="235">
        <f t="shared" ref="M49" si="384">ROUND(M47*L49,0)</f>
        <v>60138750</v>
      </c>
      <c r="N49" s="165"/>
      <c r="O49" s="266"/>
      <c r="P49" s="235">
        <f t="shared" ref="P49" si="385">ROUND(P47*O49,0)</f>
        <v>0</v>
      </c>
      <c r="Q49" s="165"/>
      <c r="R49" s="266">
        <v>0.05</v>
      </c>
      <c r="S49" s="235">
        <f t="shared" ref="S49" si="386">ROUND(S47*R49,0)</f>
        <v>60831221</v>
      </c>
      <c r="T49" s="165"/>
      <c r="U49" s="266"/>
      <c r="V49" s="235">
        <f t="shared" ref="V49" si="387">ROUND(V47*U49,0)</f>
        <v>0</v>
      </c>
      <c r="W49" s="165"/>
      <c r="X49" s="266">
        <v>0.05</v>
      </c>
      <c r="Y49" s="235">
        <f t="shared" ref="Y49" si="388">ROUND(Y47*X49,0)</f>
        <v>60653414</v>
      </c>
      <c r="Z49" s="165"/>
      <c r="AA49" s="266">
        <v>0.05</v>
      </c>
      <c r="AB49" s="235">
        <f t="shared" ref="AB49" si="389">ROUND(AB47*AA49,0)</f>
        <v>61021969</v>
      </c>
      <c r="AC49" s="165"/>
      <c r="AD49" s="266"/>
      <c r="AE49" s="235">
        <f t="shared" ref="AE49" si="390">ROUND(AE47*AD49,0)</f>
        <v>0</v>
      </c>
      <c r="AF49" s="165"/>
      <c r="AG49" s="266">
        <v>0.03</v>
      </c>
      <c r="AH49" s="235">
        <f t="shared" ref="AH49" si="391">ROUND(AH47*AG49,0)</f>
        <v>36401179</v>
      </c>
      <c r="AI49" s="165"/>
      <c r="AJ49" s="266"/>
      <c r="AK49" s="235">
        <f t="shared" ref="AK49" si="392">ROUND(AK47*AJ49,0)</f>
        <v>0</v>
      </c>
      <c r="AL49" s="165"/>
      <c r="AM49" s="266"/>
      <c r="AN49" s="235">
        <f t="shared" ref="AN49" si="393">ROUND(AN47*AM49,0)</f>
        <v>0</v>
      </c>
      <c r="AO49" s="165"/>
      <c r="AP49" s="266"/>
      <c r="AQ49" s="235">
        <f t="shared" ref="AQ49" si="394">ROUND(AQ47*AP49,0)</f>
        <v>0</v>
      </c>
      <c r="AR49" s="165"/>
      <c r="AS49" s="266">
        <v>0.05</v>
      </c>
      <c r="AT49" s="235">
        <f t="shared" ref="AT49" si="395">ROUND(AT47*AS49,0)</f>
        <v>60879604</v>
      </c>
      <c r="AU49" s="165"/>
      <c r="AV49" s="266"/>
      <c r="AW49" s="235">
        <f t="shared" ref="AW49" si="396">ROUND(AW47*AV49,0)</f>
        <v>0</v>
      </c>
      <c r="AX49" s="165"/>
      <c r="AY49" s="266">
        <v>0.05</v>
      </c>
      <c r="AZ49" s="235">
        <f t="shared" ref="AZ49" si="397">ROUND(AZ47*AY49,0)</f>
        <v>60562064</v>
      </c>
      <c r="BA49" s="165"/>
      <c r="BB49" s="266">
        <v>0.05</v>
      </c>
      <c r="BC49" s="235">
        <f t="shared" ref="BC49" si="398">ROUND(BC47*BB49,0)</f>
        <v>60173259</v>
      </c>
      <c r="BD49" s="165"/>
      <c r="BE49" s="266">
        <v>0.05</v>
      </c>
      <c r="BF49" s="235">
        <f t="shared" ref="BF49" si="399">ROUND(BF47*BE49,0)</f>
        <v>60749490</v>
      </c>
      <c r="BG49" s="165"/>
      <c r="BH49" s="266">
        <v>0.05</v>
      </c>
      <c r="BI49" s="235">
        <f t="shared" ref="BI49" si="400">ROUND(BI47*BH49,0)</f>
        <v>60697337</v>
      </c>
      <c r="BJ49" s="165"/>
      <c r="BK49" s="266">
        <v>0.05</v>
      </c>
      <c r="BL49" s="235">
        <f t="shared" ref="BL49" si="401">ROUND(BL47*BK49,0)</f>
        <v>60106679</v>
      </c>
      <c r="BM49" s="165"/>
      <c r="BN49"/>
    </row>
    <row r="50" spans="1:66" s="40" customFormat="1" ht="32.25" customHeight="1" x14ac:dyDescent="0.2">
      <c r="A50" s="39"/>
      <c r="B50" s="345" t="s">
        <v>93</v>
      </c>
      <c r="C50" s="346"/>
      <c r="D50" s="346"/>
      <c r="E50" s="346"/>
      <c r="F50" s="347"/>
      <c r="G50" s="253">
        <f>SUM(G48:G49)</f>
        <v>0.31</v>
      </c>
      <c r="H50" s="254">
        <f>SUM(H48:H49)</f>
        <v>381005823</v>
      </c>
      <c r="I50" s="260">
        <f>SUM(I48:I49)</f>
        <v>0.31</v>
      </c>
      <c r="J50" s="254">
        <f>SUM(J48:J49)</f>
        <v>377195444</v>
      </c>
      <c r="K50" s="162" t="str">
        <f>IF(OR(J50&lt;0.9*$H50,J50&gt;1.1*$H50),"NO VÁLIDA","VÁLIDA")</f>
        <v>VÁLIDA</v>
      </c>
      <c r="L50" s="260">
        <f t="shared" ref="L50:M50" si="402">SUM(L48:L49)</f>
        <v>0.31</v>
      </c>
      <c r="M50" s="254">
        <f t="shared" si="402"/>
        <v>372860247</v>
      </c>
      <c r="N50" s="162" t="str">
        <f t="shared" ref="N50" si="403">IF(OR(M50&lt;0.9*$H50,M50&gt;1.1*$H50),"NO VÁLIDA","VÁLIDA")</f>
        <v>VÁLIDA</v>
      </c>
      <c r="O50" s="260">
        <f t="shared" ref="O50:P50" si="404">SUM(O48:O49)</f>
        <v>0</v>
      </c>
      <c r="P50" s="254">
        <f t="shared" si="404"/>
        <v>0</v>
      </c>
      <c r="Q50" s="162" t="str">
        <f t="shared" ref="Q50" si="405">IF(OR(P50&lt;0.9*$H50,P50&gt;1.1*$H50),"NO VÁLIDA","VÁLIDA")</f>
        <v>NO VÁLIDA</v>
      </c>
      <c r="R50" s="260">
        <f t="shared" ref="R50:S50" si="406">SUM(R48:R49)</f>
        <v>0.31</v>
      </c>
      <c r="S50" s="254">
        <f t="shared" si="406"/>
        <v>377153568</v>
      </c>
      <c r="T50" s="162" t="str">
        <f t="shared" ref="T50" si="407">IF(OR(S50&lt;0.9*$H50,S50&gt;1.1*$H50),"NO VÁLIDA","VÁLIDA")</f>
        <v>VÁLIDA</v>
      </c>
      <c r="U50" s="260">
        <f t="shared" ref="U50:V50" si="408">SUM(U48:U49)</f>
        <v>0</v>
      </c>
      <c r="V50" s="254">
        <f t="shared" si="408"/>
        <v>0</v>
      </c>
      <c r="W50" s="162" t="str">
        <f t="shared" ref="W50" si="409">IF(OR(V50&lt;0.9*$H50,V50&gt;1.1*$H50),"NO VÁLIDA","VÁLIDA")</f>
        <v>NO VÁLIDA</v>
      </c>
      <c r="X50" s="260">
        <f t="shared" ref="X50:Y50" si="410">SUM(X48:X49)</f>
        <v>0.31</v>
      </c>
      <c r="Y50" s="254">
        <f t="shared" si="410"/>
        <v>376051166</v>
      </c>
      <c r="Z50" s="162" t="str">
        <f t="shared" ref="Z50" si="411">IF(OR(Y50&lt;0.9*$H50,Y50&gt;1.1*$H50),"NO VÁLIDA","VÁLIDA")</f>
        <v>VÁLIDA</v>
      </c>
      <c r="AA50" s="260">
        <f t="shared" ref="AA50:AB50" si="412">SUM(AA48:AA49)</f>
        <v>0.31</v>
      </c>
      <c r="AB50" s="254">
        <f t="shared" si="412"/>
        <v>378336208</v>
      </c>
      <c r="AC50" s="162" t="str">
        <f t="shared" ref="AC50" si="413">IF(OR(AB50&lt;0.9*$H50,AB50&gt;1.1*$H50),"NO VÁLIDA","VÁLIDA")</f>
        <v>VÁLIDA</v>
      </c>
      <c r="AD50" s="260">
        <f t="shared" ref="AD50:AE50" si="414">SUM(AD48:AD49)</f>
        <v>0</v>
      </c>
      <c r="AE50" s="254">
        <f t="shared" si="414"/>
        <v>0</v>
      </c>
      <c r="AF50" s="162" t="str">
        <f t="shared" ref="AF50" si="415">IF(OR(AE50&lt;0.9*$H50,AE50&gt;1.1*$H50),"NO VÁLIDA","VÁLIDA")</f>
        <v>NO VÁLIDA</v>
      </c>
      <c r="AG50" s="260">
        <f t="shared" ref="AG50:AH50" si="416">SUM(AG48:AG49)</f>
        <v>0.31000000000000005</v>
      </c>
      <c r="AH50" s="254">
        <f t="shared" si="416"/>
        <v>376145516</v>
      </c>
      <c r="AI50" s="162" t="str">
        <f t="shared" ref="AI50" si="417">IF(OR(AH50&lt;0.9*$H50,AH50&gt;1.1*$H50),"NO VÁLIDA","VÁLIDA")</f>
        <v>VÁLIDA</v>
      </c>
      <c r="AJ50" s="260">
        <f t="shared" ref="AJ50:AK50" si="418">SUM(AJ48:AJ49)</f>
        <v>0</v>
      </c>
      <c r="AK50" s="254">
        <f t="shared" si="418"/>
        <v>0</v>
      </c>
      <c r="AL50" s="162" t="str">
        <f t="shared" ref="AL50" si="419">IF(OR(AK50&lt;0.9*$H50,AK50&gt;1.1*$H50),"NO VÁLIDA","VÁLIDA")</f>
        <v>NO VÁLIDA</v>
      </c>
      <c r="AM50" s="260">
        <f t="shared" ref="AM50:AN50" si="420">SUM(AM48:AM49)</f>
        <v>0</v>
      </c>
      <c r="AN50" s="254">
        <f t="shared" si="420"/>
        <v>0</v>
      </c>
      <c r="AO50" s="162" t="str">
        <f t="shared" ref="AO50" si="421">IF(OR(AN50&lt;0.9*$H50,AN50&gt;1.1*$H50),"NO VÁLIDA","VÁLIDA")</f>
        <v>NO VÁLIDA</v>
      </c>
      <c r="AP50" s="260">
        <f t="shared" ref="AP50:AQ50" si="422">SUM(AP48:AP49)</f>
        <v>0</v>
      </c>
      <c r="AQ50" s="254">
        <f t="shared" si="422"/>
        <v>0</v>
      </c>
      <c r="AR50" s="162" t="str">
        <f t="shared" ref="AR50" si="423">IF(OR(AQ50&lt;0.9*$H50,AQ50&gt;1.1*$H50),"NO VÁLIDA","VÁLIDA")</f>
        <v>NO VÁLIDA</v>
      </c>
      <c r="AS50" s="260">
        <f t="shared" ref="AS50:AT50" si="424">SUM(AS48:AS49)</f>
        <v>0.31</v>
      </c>
      <c r="AT50" s="254">
        <f t="shared" si="424"/>
        <v>377453546</v>
      </c>
      <c r="AU50" s="162" t="str">
        <f t="shared" ref="AU50" si="425">IF(OR(AT50&lt;0.9*$H50,AT50&gt;1.1*$H50),"NO VÁLIDA","VÁLIDA")</f>
        <v>VÁLIDA</v>
      </c>
      <c r="AV50" s="260">
        <f t="shared" ref="AV50:AW50" si="426">SUM(AV48:AV49)</f>
        <v>0</v>
      </c>
      <c r="AW50" s="254">
        <f t="shared" si="426"/>
        <v>0</v>
      </c>
      <c r="AX50" s="162" t="str">
        <f t="shared" ref="AX50" si="427">IF(OR(AW50&lt;0.9*$H50,AW50&gt;1.1*$H50),"NO VÁLIDA","VÁLIDA")</f>
        <v>NO VÁLIDA</v>
      </c>
      <c r="AY50" s="260">
        <f t="shared" ref="AY50:AZ50" si="428">SUM(AY48:AY49)</f>
        <v>0.31</v>
      </c>
      <c r="AZ50" s="254">
        <f t="shared" si="428"/>
        <v>375484798</v>
      </c>
      <c r="BA50" s="162" t="str">
        <f t="shared" ref="BA50" si="429">IF(OR(AZ50&lt;0.9*$H50,AZ50&gt;1.1*$H50),"NO VÁLIDA","VÁLIDA")</f>
        <v>VÁLIDA</v>
      </c>
      <c r="BB50" s="260">
        <f t="shared" ref="BB50:BC50" si="430">SUM(BB48:BB49)</f>
        <v>0.31</v>
      </c>
      <c r="BC50" s="254">
        <f t="shared" si="430"/>
        <v>373074205</v>
      </c>
      <c r="BD50" s="162" t="str">
        <f t="shared" ref="BD50" si="431">IF(OR(BC50&lt;0.9*$H50,BC50&gt;1.1*$H50),"NO VÁLIDA","VÁLIDA")</f>
        <v>VÁLIDA</v>
      </c>
      <c r="BE50" s="260">
        <f t="shared" ref="BE50:BF50" si="432">SUM(BE48:BE49)</f>
        <v>0.31</v>
      </c>
      <c r="BF50" s="254">
        <f t="shared" si="432"/>
        <v>376646840</v>
      </c>
      <c r="BG50" s="162" t="str">
        <f t="shared" ref="BG50" si="433">IF(OR(BF50&lt;0.9*$H50,BF50&gt;1.1*$H50),"NO VÁLIDA","VÁLIDA")</f>
        <v>VÁLIDA</v>
      </c>
      <c r="BH50" s="260">
        <f t="shared" ref="BH50:BI50" si="434">SUM(BH48:BH49)</f>
        <v>0.31</v>
      </c>
      <c r="BI50" s="254">
        <f t="shared" si="434"/>
        <v>376323491</v>
      </c>
      <c r="BJ50" s="162" t="str">
        <f t="shared" ref="BJ50" si="435">IF(OR(BI50&lt;0.9*$H50,BI50&gt;1.1*$H50),"NO VÁLIDA","VÁLIDA")</f>
        <v>VÁLIDA</v>
      </c>
      <c r="BK50" s="260">
        <f t="shared" ref="BK50:BL50" si="436">SUM(BK48:BK49)</f>
        <v>0.31</v>
      </c>
      <c r="BL50" s="254">
        <f t="shared" si="436"/>
        <v>372661409</v>
      </c>
      <c r="BM50" s="162" t="str">
        <f t="shared" ref="BM50" si="437">IF(OR(BL50&lt;0.9*$H50,BL50&gt;1.1*$H50),"NO VÁLIDA","VÁLIDA")</f>
        <v>VÁLIDA</v>
      </c>
      <c r="BN50"/>
    </row>
    <row r="51" spans="1:66" s="40" customFormat="1" ht="32.25" customHeight="1" x14ac:dyDescent="0.2">
      <c r="A51" s="39"/>
      <c r="B51" s="248"/>
      <c r="C51" s="249"/>
      <c r="D51" s="250"/>
      <c r="E51" s="249"/>
      <c r="F51" s="251"/>
      <c r="G51" s="251" t="s">
        <v>110</v>
      </c>
      <c r="H51" s="247">
        <f>ROUND(SUM(H47,H50),0)</f>
        <v>1610056864</v>
      </c>
      <c r="I51" s="163"/>
      <c r="J51" s="262">
        <f>ROUND(SUM(J47,J50),0)</f>
        <v>1593954940</v>
      </c>
      <c r="K51" s="166"/>
      <c r="L51" s="163"/>
      <c r="M51" s="262">
        <f t="shared" ref="M51" si="438">ROUND(SUM(M47,M50),0)</f>
        <v>1575635237</v>
      </c>
      <c r="N51" s="166"/>
      <c r="O51" s="163"/>
      <c r="P51" s="262">
        <f t="shared" ref="P51" si="439">ROUND(SUM(P47,P50),0)</f>
        <v>0</v>
      </c>
      <c r="Q51" s="166"/>
      <c r="R51" s="163"/>
      <c r="S51" s="262">
        <f t="shared" ref="S51" si="440">ROUND(SUM(S47,S50),0)</f>
        <v>1593777978</v>
      </c>
      <c r="T51" s="166"/>
      <c r="U51" s="163"/>
      <c r="V51" s="262">
        <f t="shared" ref="V51" si="441">ROUND(SUM(V47,V50),0)</f>
        <v>0</v>
      </c>
      <c r="W51" s="166"/>
      <c r="X51" s="163"/>
      <c r="Y51" s="262">
        <f t="shared" ref="Y51" si="442">ROUND(SUM(Y47,Y50),0)</f>
        <v>1589119441</v>
      </c>
      <c r="Z51" s="166"/>
      <c r="AA51" s="163"/>
      <c r="AB51" s="262">
        <f t="shared" ref="AB51" si="443">ROUND(SUM(AB47,AB50),0)</f>
        <v>1598775587</v>
      </c>
      <c r="AC51" s="166"/>
      <c r="AD51" s="163"/>
      <c r="AE51" s="262">
        <f t="shared" ref="AE51" si="444">ROUND(SUM(AE47,AE50),0)</f>
        <v>0</v>
      </c>
      <c r="AF51" s="166"/>
      <c r="AG51" s="163"/>
      <c r="AH51" s="262">
        <f t="shared" ref="AH51" si="445">ROUND(SUM(AH47,AH50),0)</f>
        <v>1589518149</v>
      </c>
      <c r="AI51" s="166"/>
      <c r="AJ51" s="163"/>
      <c r="AK51" s="262">
        <f t="shared" ref="AK51" si="446">ROUND(SUM(AK47,AK50),0)</f>
        <v>0</v>
      </c>
      <c r="AL51" s="166"/>
      <c r="AM51" s="163"/>
      <c r="AN51" s="262">
        <f t="shared" ref="AN51" si="447">ROUND(SUM(AN47,AN50),0)</f>
        <v>0</v>
      </c>
      <c r="AO51" s="166"/>
      <c r="AP51" s="163"/>
      <c r="AQ51" s="262">
        <f t="shared" ref="AQ51" si="448">ROUND(SUM(AQ47,AQ50),0)</f>
        <v>0</v>
      </c>
      <c r="AR51" s="166"/>
      <c r="AS51" s="163"/>
      <c r="AT51" s="262">
        <f t="shared" ref="AT51" si="449">ROUND(SUM(AT47,AT50),0)</f>
        <v>1595045632</v>
      </c>
      <c r="AU51" s="166"/>
      <c r="AV51" s="163"/>
      <c r="AW51" s="262">
        <f t="shared" ref="AW51" si="450">ROUND(SUM(AW47,AW50),0)</f>
        <v>0</v>
      </c>
      <c r="AX51" s="166"/>
      <c r="AY51" s="163"/>
      <c r="AZ51" s="262">
        <f t="shared" ref="AZ51" si="451">ROUND(SUM(AZ47,AZ50),0)</f>
        <v>1586726081</v>
      </c>
      <c r="BA51" s="166"/>
      <c r="BB51" s="163"/>
      <c r="BC51" s="262">
        <f t="shared" ref="BC51" si="452">ROUND(SUM(BC47,BC50),0)</f>
        <v>1576539381</v>
      </c>
      <c r="BD51" s="166"/>
      <c r="BE51" s="163"/>
      <c r="BF51" s="262">
        <f t="shared" ref="BF51" si="453">ROUND(SUM(BF47,BF50),0)</f>
        <v>1591636646</v>
      </c>
      <c r="BG51" s="166"/>
      <c r="BH51" s="163"/>
      <c r="BI51" s="262">
        <f t="shared" ref="BI51" si="454">ROUND(SUM(BI47,BI50),0)</f>
        <v>1590270239</v>
      </c>
      <c r="BJ51" s="166"/>
      <c r="BK51" s="163"/>
      <c r="BL51" s="262">
        <f t="shared" ref="BL51" si="455">ROUND(SUM(BL47,BL50),0)</f>
        <v>1574794986</v>
      </c>
      <c r="BM51" s="166"/>
      <c r="BN51"/>
    </row>
    <row r="52" spans="1:66" s="40" customFormat="1" ht="32.25" customHeight="1" x14ac:dyDescent="0.2">
      <c r="A52" s="39"/>
      <c r="B52" s="345" t="s">
        <v>94</v>
      </c>
      <c r="C52" s="346"/>
      <c r="D52" s="346"/>
      <c r="E52" s="346"/>
      <c r="F52" s="347"/>
      <c r="G52" s="253">
        <v>0.19</v>
      </c>
      <c r="H52" s="254">
        <f>+ROUND(((H51*G52*G49)/(1+G50)),0)</f>
        <v>11675985</v>
      </c>
      <c r="I52" s="267"/>
      <c r="J52" s="263">
        <f>+ROUND(((J51*$G$52*I49)/(1+I50)),0)</f>
        <v>11559215</v>
      </c>
      <c r="K52" s="166"/>
      <c r="L52" s="267"/>
      <c r="M52" s="263">
        <f t="shared" ref="M52" si="456">+ROUND(((M51*$G$52*L49)/(1+L50)),0)</f>
        <v>11426362</v>
      </c>
      <c r="N52" s="166"/>
      <c r="O52" s="267"/>
      <c r="P52" s="263">
        <f t="shared" ref="P52" si="457">+ROUND(((P51*$G$52*O49)/(1+O50)),0)</f>
        <v>0</v>
      </c>
      <c r="Q52" s="166"/>
      <c r="R52" s="267"/>
      <c r="S52" s="263">
        <f t="shared" ref="S52" si="458">+ROUND(((S51*$G$52*R49)/(1+R50)),0)</f>
        <v>11557932</v>
      </c>
      <c r="T52" s="166"/>
      <c r="U52" s="267"/>
      <c r="V52" s="263">
        <f t="shared" ref="V52" si="459">+ROUND(((V51*$G$52*U49)/(1+U50)),0)</f>
        <v>0</v>
      </c>
      <c r="W52" s="166"/>
      <c r="X52" s="267"/>
      <c r="Y52" s="263">
        <f t="shared" ref="Y52" si="460">+ROUND(((Y51*$G$52*X49)/(1+X50)),0)</f>
        <v>11524149</v>
      </c>
      <c r="Z52" s="166"/>
      <c r="AA52" s="267"/>
      <c r="AB52" s="263">
        <f t="shared" ref="AB52" si="461">+ROUND(((AB51*$G$52*AA49)/(1+AA50)),0)</f>
        <v>11594174</v>
      </c>
      <c r="AC52" s="166"/>
      <c r="AD52" s="267"/>
      <c r="AE52" s="263">
        <f t="shared" ref="AE52" si="462">+ROUND(((AE51*$G$52*AD49)/(1+AD50)),0)</f>
        <v>0</v>
      </c>
      <c r="AF52" s="166"/>
      <c r="AG52" s="267"/>
      <c r="AH52" s="263">
        <f t="shared" ref="AH52" si="463">+ROUND(((AH51*$G$52*AG49)/(1+AG50)),0)</f>
        <v>6916224</v>
      </c>
      <c r="AI52" s="166"/>
      <c r="AJ52" s="267"/>
      <c r="AK52" s="263">
        <f t="shared" ref="AK52" si="464">+ROUND(((AK51*$G$52*AJ49)/(1+AJ50)),0)</f>
        <v>0</v>
      </c>
      <c r="AL52" s="166"/>
      <c r="AM52" s="267"/>
      <c r="AN52" s="263">
        <f t="shared" ref="AN52" si="465">+ROUND(((AN51*$G$52*AM49)/(1+AM50)),0)</f>
        <v>0</v>
      </c>
      <c r="AO52" s="166"/>
      <c r="AP52" s="267"/>
      <c r="AQ52" s="263">
        <f t="shared" ref="AQ52" si="466">+ROUND(((AQ51*$G$52*AP49)/(1+AP50)),0)</f>
        <v>0</v>
      </c>
      <c r="AR52" s="166"/>
      <c r="AS52" s="267"/>
      <c r="AT52" s="263">
        <f t="shared" ref="AT52" si="467">+ROUND(((AT51*$G$52*AS49)/(1+AS50)),0)</f>
        <v>11567125</v>
      </c>
      <c r="AU52" s="166"/>
      <c r="AV52" s="267"/>
      <c r="AW52" s="263">
        <f t="shared" ref="AW52" si="468">+ROUND(((AW51*$G$52*AV49)/(1+AV50)),0)</f>
        <v>0</v>
      </c>
      <c r="AX52" s="166"/>
      <c r="AY52" s="267"/>
      <c r="AZ52" s="263">
        <f t="shared" ref="AZ52" si="469">+ROUND(((AZ51*$G$52*AY49)/(1+AY50)),0)</f>
        <v>11506792</v>
      </c>
      <c r="BA52" s="166"/>
      <c r="BB52" s="267"/>
      <c r="BC52" s="263">
        <f t="shared" ref="BC52" si="470">+ROUND(((BC51*$G$52*BB49)/(1+BB50)),0)</f>
        <v>11432919</v>
      </c>
      <c r="BD52" s="166"/>
      <c r="BE52" s="267"/>
      <c r="BF52" s="263">
        <f t="shared" ref="BF52" si="471">+ROUND(((BF51*$G$52*BE49)/(1+BE50)),0)</f>
        <v>11542403</v>
      </c>
      <c r="BG52" s="166"/>
      <c r="BH52" s="267"/>
      <c r="BI52" s="263">
        <f t="shared" ref="BI52" si="472">+ROUND(((BI51*$G$52*BH49)/(1+BH50)),0)</f>
        <v>11532494</v>
      </c>
      <c r="BJ52" s="166"/>
      <c r="BK52" s="267"/>
      <c r="BL52" s="263">
        <f t="shared" ref="BL52" si="473">+ROUND(((BL51*$G$52*BK49)/(1+BK50)),0)</f>
        <v>11420269</v>
      </c>
      <c r="BM52" s="166"/>
      <c r="BN52"/>
    </row>
    <row r="53" spans="1:66" s="40" customFormat="1" ht="32.25" customHeight="1" x14ac:dyDescent="0.2">
      <c r="A53" s="39"/>
      <c r="B53" s="248"/>
      <c r="C53" s="249"/>
      <c r="D53" s="250"/>
      <c r="E53" s="249"/>
      <c r="F53" s="251"/>
      <c r="G53" s="251" t="s">
        <v>111</v>
      </c>
      <c r="H53" s="247">
        <f>ROUND(SUM(H51,H52),0)</f>
        <v>1621732849</v>
      </c>
      <c r="I53" s="223"/>
      <c r="J53" s="262">
        <f>ROUND(SUM(J51,J52),0)</f>
        <v>1605514155</v>
      </c>
      <c r="K53" s="166"/>
      <c r="L53" s="223"/>
      <c r="M53" s="262">
        <f t="shared" ref="M53" si="474">ROUND(SUM(M51,M52),0)</f>
        <v>1587061599</v>
      </c>
      <c r="N53" s="166"/>
      <c r="O53" s="223"/>
      <c r="P53" s="262">
        <f t="shared" ref="P53" si="475">ROUND(SUM(P51,P52),0)</f>
        <v>0</v>
      </c>
      <c r="Q53" s="166"/>
      <c r="R53" s="223"/>
      <c r="S53" s="262">
        <f t="shared" ref="S53" si="476">ROUND(SUM(S51,S52),0)</f>
        <v>1605335910</v>
      </c>
      <c r="T53" s="166"/>
      <c r="U53" s="223"/>
      <c r="V53" s="262">
        <f t="shared" ref="V53" si="477">ROUND(SUM(V51,V52),0)</f>
        <v>0</v>
      </c>
      <c r="W53" s="166"/>
      <c r="X53" s="223"/>
      <c r="Y53" s="262">
        <f t="shared" ref="Y53" si="478">ROUND(SUM(Y51,Y52),0)</f>
        <v>1600643590</v>
      </c>
      <c r="Z53" s="166"/>
      <c r="AA53" s="223"/>
      <c r="AB53" s="262">
        <f t="shared" ref="AB53" si="479">ROUND(SUM(AB51,AB52),0)</f>
        <v>1610369761</v>
      </c>
      <c r="AC53" s="166"/>
      <c r="AD53" s="223"/>
      <c r="AE53" s="262">
        <f t="shared" ref="AE53" si="480">ROUND(SUM(AE51,AE52),0)</f>
        <v>0</v>
      </c>
      <c r="AF53" s="166"/>
      <c r="AG53" s="223"/>
      <c r="AH53" s="262">
        <f t="shared" ref="AH53" si="481">ROUND(SUM(AH51,AH52),0)</f>
        <v>1596434373</v>
      </c>
      <c r="AI53" s="166"/>
      <c r="AJ53" s="223"/>
      <c r="AK53" s="262">
        <f t="shared" ref="AK53" si="482">ROUND(SUM(AK51,AK52),0)</f>
        <v>0</v>
      </c>
      <c r="AL53" s="166"/>
      <c r="AM53" s="223"/>
      <c r="AN53" s="262">
        <f t="shared" ref="AN53" si="483">ROUND(SUM(AN51,AN52),0)</f>
        <v>0</v>
      </c>
      <c r="AO53" s="166"/>
      <c r="AP53" s="223"/>
      <c r="AQ53" s="262">
        <f t="shared" ref="AQ53" si="484">ROUND(SUM(AQ51,AQ52),0)</f>
        <v>0</v>
      </c>
      <c r="AR53" s="166"/>
      <c r="AS53" s="223"/>
      <c r="AT53" s="262">
        <f t="shared" ref="AT53" si="485">ROUND(SUM(AT51,AT52),0)</f>
        <v>1606612757</v>
      </c>
      <c r="AU53" s="166"/>
      <c r="AV53" s="223"/>
      <c r="AW53" s="262">
        <f t="shared" ref="AW53" si="486">ROUND(SUM(AW51,AW52),0)</f>
        <v>0</v>
      </c>
      <c r="AX53" s="166"/>
      <c r="AY53" s="223"/>
      <c r="AZ53" s="262">
        <f t="shared" ref="AZ53" si="487">ROUND(SUM(AZ51,AZ52),0)</f>
        <v>1598232873</v>
      </c>
      <c r="BA53" s="166"/>
      <c r="BB53" s="223"/>
      <c r="BC53" s="262">
        <f t="shared" ref="BC53" si="488">ROUND(SUM(BC51,BC52),0)</f>
        <v>1587972300</v>
      </c>
      <c r="BD53" s="166"/>
      <c r="BE53" s="223"/>
      <c r="BF53" s="262">
        <f t="shared" ref="BF53" si="489">ROUND(SUM(BF51,BF52),0)</f>
        <v>1603179049</v>
      </c>
      <c r="BG53" s="166"/>
      <c r="BH53" s="223"/>
      <c r="BI53" s="262">
        <f t="shared" ref="BI53" si="490">ROUND(SUM(BI51,BI52),0)</f>
        <v>1601802733</v>
      </c>
      <c r="BJ53" s="166"/>
      <c r="BK53" s="223"/>
      <c r="BL53" s="262">
        <f t="shared" ref="BL53" si="491">ROUND(SUM(BL51,BL52),0)</f>
        <v>1586215255</v>
      </c>
      <c r="BM53" s="166"/>
      <c r="BN53"/>
    </row>
    <row r="54" spans="1:66" s="40" customFormat="1" ht="36.75" customHeight="1" x14ac:dyDescent="0.2">
      <c r="A54" s="39"/>
      <c r="B54" s="342" t="s">
        <v>112</v>
      </c>
      <c r="C54" s="343"/>
      <c r="D54" s="343"/>
      <c r="E54" s="343"/>
      <c r="F54" s="343"/>
      <c r="G54" s="344"/>
      <c r="H54" s="235">
        <v>25000000</v>
      </c>
      <c r="I54" s="198" t="s">
        <v>89</v>
      </c>
      <c r="J54" s="220">
        <v>25000000</v>
      </c>
      <c r="K54" s="162" t="str">
        <f>+IF(J54&gt;0,IF(J54&lt;&gt;$H54,"NO VÁLIDA","VÁLIDA"),"NO VÁLIDA")</f>
        <v>VÁLIDA</v>
      </c>
      <c r="L54" s="198" t="s">
        <v>89</v>
      </c>
      <c r="M54" s="220">
        <v>25000000</v>
      </c>
      <c r="N54" s="162" t="str">
        <f t="shared" ref="N54:N57" si="492">+IF(M54&gt;0,IF(M54&lt;&gt;$H54,"NO VÁLIDA","VÁLIDA"),"NO VÁLIDA")</f>
        <v>VÁLIDA</v>
      </c>
      <c r="O54" s="198" t="s">
        <v>89</v>
      </c>
      <c r="P54" s="220"/>
      <c r="Q54" s="162" t="str">
        <f t="shared" ref="Q54:Q57" si="493">+IF(P54&gt;0,IF(P54&lt;&gt;$H54,"NO VÁLIDA","VÁLIDA"),"NO VÁLIDA")</f>
        <v>NO VÁLIDA</v>
      </c>
      <c r="R54" s="198" t="s">
        <v>89</v>
      </c>
      <c r="S54" s="220">
        <v>25000000</v>
      </c>
      <c r="T54" s="162" t="str">
        <f t="shared" ref="T54:T57" si="494">+IF(S54&gt;0,IF(S54&lt;&gt;$H54,"NO VÁLIDA","VÁLIDA"),"NO VÁLIDA")</f>
        <v>VÁLIDA</v>
      </c>
      <c r="U54" s="198" t="s">
        <v>89</v>
      </c>
      <c r="V54" s="220"/>
      <c r="W54" s="162" t="str">
        <f t="shared" ref="W54:W57" si="495">+IF(V54&gt;0,IF(V54&lt;&gt;$H54,"NO VÁLIDA","VÁLIDA"),"NO VÁLIDA")</f>
        <v>NO VÁLIDA</v>
      </c>
      <c r="X54" s="198" t="s">
        <v>89</v>
      </c>
      <c r="Y54" s="220">
        <v>25000000</v>
      </c>
      <c r="Z54" s="162" t="str">
        <f t="shared" ref="Z54:Z57" si="496">+IF(Y54&gt;0,IF(Y54&lt;&gt;$H54,"NO VÁLIDA","VÁLIDA"),"NO VÁLIDA")</f>
        <v>VÁLIDA</v>
      </c>
      <c r="AA54" s="198" t="s">
        <v>89</v>
      </c>
      <c r="AB54" s="220">
        <v>25000000</v>
      </c>
      <c r="AC54" s="162" t="str">
        <f t="shared" ref="AC54:AC57" si="497">+IF(AB54&gt;0,IF(AB54&lt;&gt;$H54,"NO VÁLIDA","VÁLIDA"),"NO VÁLIDA")</f>
        <v>VÁLIDA</v>
      </c>
      <c r="AD54" s="198" t="s">
        <v>89</v>
      </c>
      <c r="AE54" s="220"/>
      <c r="AF54" s="162" t="str">
        <f t="shared" ref="AF54:AF57" si="498">+IF(AE54&gt;0,IF(AE54&lt;&gt;$H54,"NO VÁLIDA","VÁLIDA"),"NO VÁLIDA")</f>
        <v>NO VÁLIDA</v>
      </c>
      <c r="AG54" s="198" t="s">
        <v>89</v>
      </c>
      <c r="AH54" s="220">
        <v>25000000</v>
      </c>
      <c r="AI54" s="162" t="str">
        <f t="shared" ref="AI54:AI57" si="499">+IF(AH54&gt;0,IF(AH54&lt;&gt;$H54,"NO VÁLIDA","VÁLIDA"),"NO VÁLIDA")</f>
        <v>VÁLIDA</v>
      </c>
      <c r="AJ54" s="198" t="s">
        <v>89</v>
      </c>
      <c r="AK54" s="220"/>
      <c r="AL54" s="162" t="str">
        <f t="shared" ref="AL54:AL57" si="500">+IF(AK54&gt;0,IF(AK54&lt;&gt;$H54,"NO VÁLIDA","VÁLIDA"),"NO VÁLIDA")</f>
        <v>NO VÁLIDA</v>
      </c>
      <c r="AM54" s="198" t="s">
        <v>89</v>
      </c>
      <c r="AN54" s="220"/>
      <c r="AO54" s="162" t="str">
        <f t="shared" ref="AO54:AO57" si="501">+IF(AN54&gt;0,IF(AN54&lt;&gt;$H54,"NO VÁLIDA","VÁLIDA"),"NO VÁLIDA")</f>
        <v>NO VÁLIDA</v>
      </c>
      <c r="AP54" s="198" t="s">
        <v>89</v>
      </c>
      <c r="AQ54" s="220"/>
      <c r="AR54" s="162" t="str">
        <f t="shared" ref="AR54:AR57" si="502">+IF(AQ54&gt;0,IF(AQ54&lt;&gt;$H54,"NO VÁLIDA","VÁLIDA"),"NO VÁLIDA")</f>
        <v>NO VÁLIDA</v>
      </c>
      <c r="AS54" s="198" t="s">
        <v>89</v>
      </c>
      <c r="AT54" s="220">
        <v>25000000</v>
      </c>
      <c r="AU54" s="162" t="str">
        <f t="shared" ref="AU54:AU57" si="503">+IF(AT54&gt;0,IF(AT54&lt;&gt;$H54,"NO VÁLIDA","VÁLIDA"),"NO VÁLIDA")</f>
        <v>VÁLIDA</v>
      </c>
      <c r="AV54" s="198" t="s">
        <v>89</v>
      </c>
      <c r="AW54" s="220"/>
      <c r="AX54" s="162" t="str">
        <f t="shared" ref="AX54:AX57" si="504">+IF(AW54&gt;0,IF(AW54&lt;&gt;$H54,"NO VÁLIDA","VÁLIDA"),"NO VÁLIDA")</f>
        <v>NO VÁLIDA</v>
      </c>
      <c r="AY54" s="198" t="s">
        <v>89</v>
      </c>
      <c r="AZ54" s="220">
        <v>25000000</v>
      </c>
      <c r="BA54" s="162" t="str">
        <f t="shared" ref="BA54:BA57" si="505">+IF(AZ54&gt;0,IF(AZ54&lt;&gt;$H54,"NO VÁLIDA","VÁLIDA"),"NO VÁLIDA")</f>
        <v>VÁLIDA</v>
      </c>
      <c r="BB54" s="198" t="s">
        <v>89</v>
      </c>
      <c r="BC54" s="220">
        <v>25000000</v>
      </c>
      <c r="BD54" s="162" t="str">
        <f t="shared" ref="BD54:BD57" si="506">+IF(BC54&gt;0,IF(BC54&lt;&gt;$H54,"NO VÁLIDA","VÁLIDA"),"NO VÁLIDA")</f>
        <v>VÁLIDA</v>
      </c>
      <c r="BE54" s="198" t="s">
        <v>89</v>
      </c>
      <c r="BF54" s="220">
        <v>25000000</v>
      </c>
      <c r="BG54" s="162" t="str">
        <f t="shared" ref="BG54:BG57" si="507">+IF(BF54&gt;0,IF(BF54&lt;&gt;$H54,"NO VÁLIDA","VÁLIDA"),"NO VÁLIDA")</f>
        <v>VÁLIDA</v>
      </c>
      <c r="BH54" s="198" t="s">
        <v>89</v>
      </c>
      <c r="BI54" s="220">
        <v>25000000</v>
      </c>
      <c r="BJ54" s="162" t="str">
        <f t="shared" ref="BJ54:BJ57" si="508">+IF(BI54&gt;0,IF(BI54&lt;&gt;$H54,"NO VÁLIDA","VÁLIDA"),"NO VÁLIDA")</f>
        <v>VÁLIDA</v>
      </c>
      <c r="BK54" s="198" t="s">
        <v>89</v>
      </c>
      <c r="BL54" s="220">
        <v>25000000</v>
      </c>
      <c r="BM54" s="162" t="str">
        <f t="shared" ref="BM54:BM57" si="509">+IF(BL54&gt;0,IF(BL54&lt;&gt;$H54,"NO VÁLIDA","VÁLIDA"),"NO VÁLIDA")</f>
        <v>VÁLIDA</v>
      </c>
      <c r="BN54"/>
    </row>
    <row r="55" spans="1:66" s="40" customFormat="1" ht="36.75" customHeight="1" x14ac:dyDescent="0.2">
      <c r="A55" s="39"/>
      <c r="B55" s="342" t="s">
        <v>113</v>
      </c>
      <c r="C55" s="343"/>
      <c r="D55" s="343"/>
      <c r="E55" s="343"/>
      <c r="F55" s="343"/>
      <c r="G55" s="344"/>
      <c r="H55" s="235">
        <v>5025224</v>
      </c>
      <c r="I55" s="198" t="s">
        <v>89</v>
      </c>
      <c r="J55" s="220">
        <v>5025224</v>
      </c>
      <c r="K55" s="162" t="str">
        <f t="shared" ref="K55:K57" si="510">+IF(J55&gt;0,IF(J55&lt;&gt;$H55,"NO VÁLIDA","VÁLIDA"),"NO VÁLIDA")</f>
        <v>VÁLIDA</v>
      </c>
      <c r="L55" s="198" t="s">
        <v>89</v>
      </c>
      <c r="M55" s="220">
        <v>5025224</v>
      </c>
      <c r="N55" s="162" t="str">
        <f t="shared" si="492"/>
        <v>VÁLIDA</v>
      </c>
      <c r="O55" s="198" t="s">
        <v>89</v>
      </c>
      <c r="P55" s="220"/>
      <c r="Q55" s="162" t="str">
        <f t="shared" si="493"/>
        <v>NO VÁLIDA</v>
      </c>
      <c r="R55" s="198" t="s">
        <v>89</v>
      </c>
      <c r="S55" s="220">
        <v>5025224</v>
      </c>
      <c r="T55" s="162" t="str">
        <f t="shared" si="494"/>
        <v>VÁLIDA</v>
      </c>
      <c r="U55" s="198" t="s">
        <v>89</v>
      </c>
      <c r="V55" s="220"/>
      <c r="W55" s="162" t="str">
        <f t="shared" si="495"/>
        <v>NO VÁLIDA</v>
      </c>
      <c r="X55" s="198" t="s">
        <v>89</v>
      </c>
      <c r="Y55" s="220">
        <v>5025224</v>
      </c>
      <c r="Z55" s="162" t="str">
        <f t="shared" si="496"/>
        <v>VÁLIDA</v>
      </c>
      <c r="AA55" s="198" t="s">
        <v>89</v>
      </c>
      <c r="AB55" s="220">
        <v>5025224</v>
      </c>
      <c r="AC55" s="162" t="str">
        <f t="shared" si="497"/>
        <v>VÁLIDA</v>
      </c>
      <c r="AD55" s="198" t="s">
        <v>89</v>
      </c>
      <c r="AE55" s="220"/>
      <c r="AF55" s="162" t="str">
        <f t="shared" si="498"/>
        <v>NO VÁLIDA</v>
      </c>
      <c r="AG55" s="198" t="s">
        <v>89</v>
      </c>
      <c r="AH55" s="220">
        <v>5025224</v>
      </c>
      <c r="AI55" s="162" t="str">
        <f t="shared" si="499"/>
        <v>VÁLIDA</v>
      </c>
      <c r="AJ55" s="198" t="s">
        <v>89</v>
      </c>
      <c r="AK55" s="220"/>
      <c r="AL55" s="162" t="str">
        <f t="shared" si="500"/>
        <v>NO VÁLIDA</v>
      </c>
      <c r="AM55" s="198" t="s">
        <v>89</v>
      </c>
      <c r="AN55" s="220"/>
      <c r="AO55" s="162" t="str">
        <f t="shared" si="501"/>
        <v>NO VÁLIDA</v>
      </c>
      <c r="AP55" s="198" t="s">
        <v>89</v>
      </c>
      <c r="AQ55" s="220"/>
      <c r="AR55" s="162" t="str">
        <f t="shared" si="502"/>
        <v>NO VÁLIDA</v>
      </c>
      <c r="AS55" s="198" t="s">
        <v>89</v>
      </c>
      <c r="AT55" s="220">
        <v>5025224</v>
      </c>
      <c r="AU55" s="162" t="str">
        <f t="shared" si="503"/>
        <v>VÁLIDA</v>
      </c>
      <c r="AV55" s="198" t="s">
        <v>89</v>
      </c>
      <c r="AW55" s="220"/>
      <c r="AX55" s="162" t="str">
        <f t="shared" si="504"/>
        <v>NO VÁLIDA</v>
      </c>
      <c r="AY55" s="198" t="s">
        <v>89</v>
      </c>
      <c r="AZ55" s="220">
        <v>5025224</v>
      </c>
      <c r="BA55" s="162" t="str">
        <f t="shared" si="505"/>
        <v>VÁLIDA</v>
      </c>
      <c r="BB55" s="198" t="s">
        <v>89</v>
      </c>
      <c r="BC55" s="220">
        <v>5025224</v>
      </c>
      <c r="BD55" s="162" t="str">
        <f t="shared" si="506"/>
        <v>VÁLIDA</v>
      </c>
      <c r="BE55" s="198" t="s">
        <v>89</v>
      </c>
      <c r="BF55" s="220">
        <v>5025224</v>
      </c>
      <c r="BG55" s="162" t="str">
        <f t="shared" si="507"/>
        <v>VÁLIDA</v>
      </c>
      <c r="BH55" s="198" t="s">
        <v>89</v>
      </c>
      <c r="BI55" s="220">
        <v>5025224</v>
      </c>
      <c r="BJ55" s="162" t="str">
        <f t="shared" si="508"/>
        <v>VÁLIDA</v>
      </c>
      <c r="BK55" s="198" t="s">
        <v>89</v>
      </c>
      <c r="BL55" s="220">
        <v>5025224</v>
      </c>
      <c r="BM55" s="162" t="str">
        <f t="shared" si="509"/>
        <v>VÁLIDA</v>
      </c>
      <c r="BN55"/>
    </row>
    <row r="56" spans="1:66" s="40" customFormat="1" ht="36.75" customHeight="1" x14ac:dyDescent="0.2">
      <c r="A56" s="39"/>
      <c r="B56" s="342" t="s">
        <v>114</v>
      </c>
      <c r="C56" s="343"/>
      <c r="D56" s="343"/>
      <c r="E56" s="343"/>
      <c r="F56" s="343"/>
      <c r="G56" s="344"/>
      <c r="H56" s="235">
        <v>8020850</v>
      </c>
      <c r="I56" s="198" t="s">
        <v>89</v>
      </c>
      <c r="J56" s="220">
        <v>8020850</v>
      </c>
      <c r="K56" s="162" t="str">
        <f t="shared" si="510"/>
        <v>VÁLIDA</v>
      </c>
      <c r="L56" s="198" t="s">
        <v>89</v>
      </c>
      <c r="M56" s="220">
        <v>8020850</v>
      </c>
      <c r="N56" s="162" t="str">
        <f t="shared" si="492"/>
        <v>VÁLIDA</v>
      </c>
      <c r="O56" s="198" t="s">
        <v>89</v>
      </c>
      <c r="P56" s="220"/>
      <c r="Q56" s="162" t="str">
        <f t="shared" si="493"/>
        <v>NO VÁLIDA</v>
      </c>
      <c r="R56" s="198" t="s">
        <v>89</v>
      </c>
      <c r="S56" s="220">
        <v>8020850</v>
      </c>
      <c r="T56" s="162" t="str">
        <f t="shared" si="494"/>
        <v>VÁLIDA</v>
      </c>
      <c r="U56" s="198" t="s">
        <v>89</v>
      </c>
      <c r="V56" s="220"/>
      <c r="W56" s="162" t="str">
        <f t="shared" si="495"/>
        <v>NO VÁLIDA</v>
      </c>
      <c r="X56" s="198" t="s">
        <v>89</v>
      </c>
      <c r="Y56" s="220">
        <v>8020850</v>
      </c>
      <c r="Z56" s="162" t="str">
        <f t="shared" si="496"/>
        <v>VÁLIDA</v>
      </c>
      <c r="AA56" s="198" t="s">
        <v>89</v>
      </c>
      <c r="AB56" s="220">
        <v>8020850</v>
      </c>
      <c r="AC56" s="162" t="str">
        <f t="shared" si="497"/>
        <v>VÁLIDA</v>
      </c>
      <c r="AD56" s="198" t="s">
        <v>89</v>
      </c>
      <c r="AE56" s="220"/>
      <c r="AF56" s="162" t="str">
        <f t="shared" si="498"/>
        <v>NO VÁLIDA</v>
      </c>
      <c r="AG56" s="198" t="s">
        <v>89</v>
      </c>
      <c r="AH56" s="220">
        <v>8020850</v>
      </c>
      <c r="AI56" s="162" t="str">
        <f t="shared" si="499"/>
        <v>VÁLIDA</v>
      </c>
      <c r="AJ56" s="198" t="s">
        <v>89</v>
      </c>
      <c r="AK56" s="220"/>
      <c r="AL56" s="162" t="str">
        <f t="shared" si="500"/>
        <v>NO VÁLIDA</v>
      </c>
      <c r="AM56" s="198" t="s">
        <v>89</v>
      </c>
      <c r="AN56" s="220"/>
      <c r="AO56" s="162" t="str">
        <f t="shared" si="501"/>
        <v>NO VÁLIDA</v>
      </c>
      <c r="AP56" s="198" t="s">
        <v>89</v>
      </c>
      <c r="AQ56" s="220"/>
      <c r="AR56" s="162" t="str">
        <f t="shared" si="502"/>
        <v>NO VÁLIDA</v>
      </c>
      <c r="AS56" s="198" t="s">
        <v>89</v>
      </c>
      <c r="AT56" s="220">
        <v>8020850</v>
      </c>
      <c r="AU56" s="162" t="str">
        <f t="shared" si="503"/>
        <v>VÁLIDA</v>
      </c>
      <c r="AV56" s="198" t="s">
        <v>89</v>
      </c>
      <c r="AW56" s="220"/>
      <c r="AX56" s="162" t="str">
        <f t="shared" si="504"/>
        <v>NO VÁLIDA</v>
      </c>
      <c r="AY56" s="198" t="s">
        <v>89</v>
      </c>
      <c r="AZ56" s="220">
        <v>8020850</v>
      </c>
      <c r="BA56" s="162" t="str">
        <f t="shared" si="505"/>
        <v>VÁLIDA</v>
      </c>
      <c r="BB56" s="198" t="s">
        <v>89</v>
      </c>
      <c r="BC56" s="220">
        <v>8020850</v>
      </c>
      <c r="BD56" s="162" t="str">
        <f t="shared" si="506"/>
        <v>VÁLIDA</v>
      </c>
      <c r="BE56" s="198" t="s">
        <v>89</v>
      </c>
      <c r="BF56" s="220">
        <v>8020850</v>
      </c>
      <c r="BG56" s="162" t="str">
        <f t="shared" si="507"/>
        <v>VÁLIDA</v>
      </c>
      <c r="BH56" s="198" t="s">
        <v>89</v>
      </c>
      <c r="BI56" s="220">
        <v>8020850</v>
      </c>
      <c r="BJ56" s="162" t="str">
        <f t="shared" si="508"/>
        <v>VÁLIDA</v>
      </c>
      <c r="BK56" s="198" t="s">
        <v>89</v>
      </c>
      <c r="BL56" s="220">
        <v>8020850</v>
      </c>
      <c r="BM56" s="162" t="str">
        <f t="shared" si="509"/>
        <v>VÁLIDA</v>
      </c>
      <c r="BN56"/>
    </row>
    <row r="57" spans="1:66" s="40" customFormat="1" ht="36.75" customHeight="1" x14ac:dyDescent="0.2">
      <c r="A57" s="39"/>
      <c r="B57" s="342" t="s">
        <v>115</v>
      </c>
      <c r="C57" s="343"/>
      <c r="D57" s="343"/>
      <c r="E57" s="343"/>
      <c r="F57" s="343"/>
      <c r="G57" s="344"/>
      <c r="H57" s="235">
        <v>26762100</v>
      </c>
      <c r="I57" s="198" t="s">
        <v>89</v>
      </c>
      <c r="J57" s="220">
        <v>26762100</v>
      </c>
      <c r="K57" s="162" t="str">
        <f t="shared" si="510"/>
        <v>VÁLIDA</v>
      </c>
      <c r="L57" s="198" t="s">
        <v>89</v>
      </c>
      <c r="M57" s="220">
        <v>26762100</v>
      </c>
      <c r="N57" s="162" t="str">
        <f t="shared" si="492"/>
        <v>VÁLIDA</v>
      </c>
      <c r="O57" s="198" t="s">
        <v>89</v>
      </c>
      <c r="P57" s="220"/>
      <c r="Q57" s="162" t="str">
        <f t="shared" si="493"/>
        <v>NO VÁLIDA</v>
      </c>
      <c r="R57" s="198" t="s">
        <v>89</v>
      </c>
      <c r="S57" s="220">
        <v>26762100</v>
      </c>
      <c r="T57" s="162" t="str">
        <f t="shared" si="494"/>
        <v>VÁLIDA</v>
      </c>
      <c r="U57" s="198" t="s">
        <v>89</v>
      </c>
      <c r="V57" s="220"/>
      <c r="W57" s="162" t="str">
        <f t="shared" si="495"/>
        <v>NO VÁLIDA</v>
      </c>
      <c r="X57" s="198" t="s">
        <v>89</v>
      </c>
      <c r="Y57" s="220">
        <v>26762100</v>
      </c>
      <c r="Z57" s="162" t="str">
        <f t="shared" si="496"/>
        <v>VÁLIDA</v>
      </c>
      <c r="AA57" s="198" t="s">
        <v>89</v>
      </c>
      <c r="AB57" s="220">
        <v>26762100</v>
      </c>
      <c r="AC57" s="162" t="str">
        <f t="shared" si="497"/>
        <v>VÁLIDA</v>
      </c>
      <c r="AD57" s="198" t="s">
        <v>89</v>
      </c>
      <c r="AE57" s="220"/>
      <c r="AF57" s="162" t="str">
        <f t="shared" si="498"/>
        <v>NO VÁLIDA</v>
      </c>
      <c r="AG57" s="198" t="s">
        <v>89</v>
      </c>
      <c r="AH57" s="220">
        <v>26762100</v>
      </c>
      <c r="AI57" s="162" t="str">
        <f t="shared" si="499"/>
        <v>VÁLIDA</v>
      </c>
      <c r="AJ57" s="198" t="s">
        <v>89</v>
      </c>
      <c r="AK57" s="220"/>
      <c r="AL57" s="162" t="str">
        <f t="shared" si="500"/>
        <v>NO VÁLIDA</v>
      </c>
      <c r="AM57" s="198" t="s">
        <v>89</v>
      </c>
      <c r="AN57" s="220"/>
      <c r="AO57" s="162" t="str">
        <f t="shared" si="501"/>
        <v>NO VÁLIDA</v>
      </c>
      <c r="AP57" s="198" t="s">
        <v>89</v>
      </c>
      <c r="AQ57" s="220"/>
      <c r="AR57" s="162" t="str">
        <f t="shared" si="502"/>
        <v>NO VÁLIDA</v>
      </c>
      <c r="AS57" s="198" t="s">
        <v>89</v>
      </c>
      <c r="AT57" s="220">
        <v>26762100</v>
      </c>
      <c r="AU57" s="162" t="str">
        <f t="shared" si="503"/>
        <v>VÁLIDA</v>
      </c>
      <c r="AV57" s="198" t="s">
        <v>89</v>
      </c>
      <c r="AW57" s="220"/>
      <c r="AX57" s="162" t="str">
        <f t="shared" si="504"/>
        <v>NO VÁLIDA</v>
      </c>
      <c r="AY57" s="198" t="s">
        <v>89</v>
      </c>
      <c r="AZ57" s="220">
        <v>26762100</v>
      </c>
      <c r="BA57" s="162" t="str">
        <f t="shared" si="505"/>
        <v>VÁLIDA</v>
      </c>
      <c r="BB57" s="198" t="s">
        <v>89</v>
      </c>
      <c r="BC57" s="220">
        <v>26762100</v>
      </c>
      <c r="BD57" s="162" t="str">
        <f t="shared" si="506"/>
        <v>VÁLIDA</v>
      </c>
      <c r="BE57" s="198" t="s">
        <v>89</v>
      </c>
      <c r="BF57" s="220">
        <v>26762100</v>
      </c>
      <c r="BG57" s="162" t="str">
        <f t="shared" si="507"/>
        <v>VÁLIDA</v>
      </c>
      <c r="BH57" s="198" t="s">
        <v>89</v>
      </c>
      <c r="BI57" s="220">
        <v>26762100</v>
      </c>
      <c r="BJ57" s="162" t="str">
        <f t="shared" si="508"/>
        <v>VÁLIDA</v>
      </c>
      <c r="BK57" s="198" t="s">
        <v>89</v>
      </c>
      <c r="BL57" s="220">
        <v>26762100</v>
      </c>
      <c r="BM57" s="162" t="str">
        <f t="shared" si="509"/>
        <v>VÁLIDA</v>
      </c>
      <c r="BN57"/>
    </row>
    <row r="58" spans="1:66" s="40" customFormat="1" ht="36.75" customHeight="1" thickBot="1" x14ac:dyDescent="0.25">
      <c r="A58" s="39"/>
      <c r="B58" s="248"/>
      <c r="C58" s="249"/>
      <c r="D58" s="250"/>
      <c r="E58" s="249"/>
      <c r="F58" s="251"/>
      <c r="G58" s="251" t="s">
        <v>116</v>
      </c>
      <c r="H58" s="247">
        <f>ROUND(SUM(H54:H57),0)</f>
        <v>64808174</v>
      </c>
      <c r="I58" s="198" t="s">
        <v>89</v>
      </c>
      <c r="J58" s="262">
        <f>ROUND(SUM(J54:J57),0)</f>
        <v>64808174</v>
      </c>
      <c r="K58" s="162" t="str">
        <f>+IF(J58&gt;0,IF(J58&lt;&gt;$H58,"NO VÁLIDA","VÁLIDA"),"NO VÁLIDA")</f>
        <v>VÁLIDA</v>
      </c>
      <c r="L58" s="198" t="s">
        <v>89</v>
      </c>
      <c r="M58" s="262">
        <f t="shared" ref="M58" si="511">ROUND(SUM(M54:M57),0)</f>
        <v>64808174</v>
      </c>
      <c r="N58" s="162" t="str">
        <f t="shared" ref="N58" si="512">+IF(M58&gt;0,IF(M58&lt;&gt;$H58,"NO VÁLIDA","VÁLIDA"),"NO VÁLIDA")</f>
        <v>VÁLIDA</v>
      </c>
      <c r="O58" s="198" t="s">
        <v>89</v>
      </c>
      <c r="P58" s="262">
        <f t="shared" ref="P58" si="513">ROUND(SUM(P54:P57),0)</f>
        <v>0</v>
      </c>
      <c r="Q58" s="162" t="str">
        <f t="shared" ref="Q58" si="514">+IF(P58&gt;0,IF(P58&lt;&gt;$H58,"NO VÁLIDA","VÁLIDA"),"NO VÁLIDA")</f>
        <v>NO VÁLIDA</v>
      </c>
      <c r="R58" s="198" t="s">
        <v>89</v>
      </c>
      <c r="S58" s="262">
        <f t="shared" ref="S58" si="515">ROUND(SUM(S54:S57),0)</f>
        <v>64808174</v>
      </c>
      <c r="T58" s="162" t="str">
        <f t="shared" ref="T58" si="516">+IF(S58&gt;0,IF(S58&lt;&gt;$H58,"NO VÁLIDA","VÁLIDA"),"NO VÁLIDA")</f>
        <v>VÁLIDA</v>
      </c>
      <c r="U58" s="198" t="s">
        <v>89</v>
      </c>
      <c r="V58" s="262">
        <f t="shared" ref="V58" si="517">ROUND(SUM(V54:V57),0)</f>
        <v>0</v>
      </c>
      <c r="W58" s="162" t="str">
        <f t="shared" ref="W58" si="518">+IF(V58&gt;0,IF(V58&lt;&gt;$H58,"NO VÁLIDA","VÁLIDA"),"NO VÁLIDA")</f>
        <v>NO VÁLIDA</v>
      </c>
      <c r="X58" s="198" t="s">
        <v>89</v>
      </c>
      <c r="Y58" s="262">
        <f t="shared" ref="Y58" si="519">ROUND(SUM(Y54:Y57),0)</f>
        <v>64808174</v>
      </c>
      <c r="Z58" s="162" t="str">
        <f t="shared" ref="Z58" si="520">+IF(Y58&gt;0,IF(Y58&lt;&gt;$H58,"NO VÁLIDA","VÁLIDA"),"NO VÁLIDA")</f>
        <v>VÁLIDA</v>
      </c>
      <c r="AA58" s="198" t="s">
        <v>89</v>
      </c>
      <c r="AB58" s="262">
        <f t="shared" ref="AB58" si="521">ROUND(SUM(AB54:AB57),0)</f>
        <v>64808174</v>
      </c>
      <c r="AC58" s="162" t="str">
        <f t="shared" ref="AC58" si="522">+IF(AB58&gt;0,IF(AB58&lt;&gt;$H58,"NO VÁLIDA","VÁLIDA"),"NO VÁLIDA")</f>
        <v>VÁLIDA</v>
      </c>
      <c r="AD58" s="198" t="s">
        <v>89</v>
      </c>
      <c r="AE58" s="262">
        <f t="shared" ref="AE58" si="523">ROUND(SUM(AE54:AE57),0)</f>
        <v>0</v>
      </c>
      <c r="AF58" s="162" t="str">
        <f t="shared" ref="AF58" si="524">+IF(AE58&gt;0,IF(AE58&lt;&gt;$H58,"NO VÁLIDA","VÁLIDA"),"NO VÁLIDA")</f>
        <v>NO VÁLIDA</v>
      </c>
      <c r="AG58" s="198" t="s">
        <v>89</v>
      </c>
      <c r="AH58" s="262">
        <f t="shared" ref="AH58" si="525">ROUND(SUM(AH54:AH57),0)</f>
        <v>64808174</v>
      </c>
      <c r="AI58" s="162" t="str">
        <f t="shared" ref="AI58" si="526">+IF(AH58&gt;0,IF(AH58&lt;&gt;$H58,"NO VÁLIDA","VÁLIDA"),"NO VÁLIDA")</f>
        <v>VÁLIDA</v>
      </c>
      <c r="AJ58" s="198" t="s">
        <v>89</v>
      </c>
      <c r="AK58" s="262">
        <f t="shared" ref="AK58" si="527">ROUND(SUM(AK54:AK57),0)</f>
        <v>0</v>
      </c>
      <c r="AL58" s="162" t="str">
        <f t="shared" ref="AL58" si="528">+IF(AK58&gt;0,IF(AK58&lt;&gt;$H58,"NO VÁLIDA","VÁLIDA"),"NO VÁLIDA")</f>
        <v>NO VÁLIDA</v>
      </c>
      <c r="AM58" s="198" t="s">
        <v>89</v>
      </c>
      <c r="AN58" s="262">
        <f t="shared" ref="AN58" si="529">ROUND(SUM(AN54:AN57),0)</f>
        <v>0</v>
      </c>
      <c r="AO58" s="162" t="str">
        <f t="shared" ref="AO58" si="530">+IF(AN58&gt;0,IF(AN58&lt;&gt;$H58,"NO VÁLIDA","VÁLIDA"),"NO VÁLIDA")</f>
        <v>NO VÁLIDA</v>
      </c>
      <c r="AP58" s="198" t="s">
        <v>89</v>
      </c>
      <c r="AQ58" s="262">
        <f t="shared" ref="AQ58" si="531">ROUND(SUM(AQ54:AQ57),0)</f>
        <v>0</v>
      </c>
      <c r="AR58" s="162" t="str">
        <f t="shared" ref="AR58" si="532">+IF(AQ58&gt;0,IF(AQ58&lt;&gt;$H58,"NO VÁLIDA","VÁLIDA"),"NO VÁLIDA")</f>
        <v>NO VÁLIDA</v>
      </c>
      <c r="AS58" s="198" t="s">
        <v>89</v>
      </c>
      <c r="AT58" s="262">
        <f t="shared" ref="AT58" si="533">ROUND(SUM(AT54:AT57),0)</f>
        <v>64808174</v>
      </c>
      <c r="AU58" s="162" t="str">
        <f t="shared" ref="AU58" si="534">+IF(AT58&gt;0,IF(AT58&lt;&gt;$H58,"NO VÁLIDA","VÁLIDA"),"NO VÁLIDA")</f>
        <v>VÁLIDA</v>
      </c>
      <c r="AV58" s="198" t="s">
        <v>89</v>
      </c>
      <c r="AW58" s="262">
        <f t="shared" ref="AW58" si="535">ROUND(SUM(AW54:AW57),0)</f>
        <v>0</v>
      </c>
      <c r="AX58" s="162" t="str">
        <f t="shared" ref="AX58" si="536">+IF(AW58&gt;0,IF(AW58&lt;&gt;$H58,"NO VÁLIDA","VÁLIDA"),"NO VÁLIDA")</f>
        <v>NO VÁLIDA</v>
      </c>
      <c r="AY58" s="198" t="s">
        <v>89</v>
      </c>
      <c r="AZ58" s="262">
        <f t="shared" ref="AZ58" si="537">ROUND(SUM(AZ54:AZ57),0)</f>
        <v>64808174</v>
      </c>
      <c r="BA58" s="162" t="str">
        <f t="shared" ref="BA58" si="538">+IF(AZ58&gt;0,IF(AZ58&lt;&gt;$H58,"NO VÁLIDA","VÁLIDA"),"NO VÁLIDA")</f>
        <v>VÁLIDA</v>
      </c>
      <c r="BB58" s="198" t="s">
        <v>89</v>
      </c>
      <c r="BC58" s="262">
        <f t="shared" ref="BC58" si="539">ROUND(SUM(BC54:BC57),0)</f>
        <v>64808174</v>
      </c>
      <c r="BD58" s="162" t="str">
        <f t="shared" ref="BD58" si="540">+IF(BC58&gt;0,IF(BC58&lt;&gt;$H58,"NO VÁLIDA","VÁLIDA"),"NO VÁLIDA")</f>
        <v>VÁLIDA</v>
      </c>
      <c r="BE58" s="198" t="s">
        <v>89</v>
      </c>
      <c r="BF58" s="262">
        <f t="shared" ref="BF58" si="541">ROUND(SUM(BF54:BF57),0)</f>
        <v>64808174</v>
      </c>
      <c r="BG58" s="162" t="str">
        <f t="shared" ref="BG58" si="542">+IF(BF58&gt;0,IF(BF58&lt;&gt;$H58,"NO VÁLIDA","VÁLIDA"),"NO VÁLIDA")</f>
        <v>VÁLIDA</v>
      </c>
      <c r="BH58" s="198" t="s">
        <v>89</v>
      </c>
      <c r="BI58" s="262">
        <f t="shared" ref="BI58" si="543">ROUND(SUM(BI54:BI57),0)</f>
        <v>64808174</v>
      </c>
      <c r="BJ58" s="162" t="str">
        <f t="shared" ref="BJ58" si="544">+IF(BI58&gt;0,IF(BI58&lt;&gt;$H58,"NO VÁLIDA","VÁLIDA"),"NO VÁLIDA")</f>
        <v>VÁLIDA</v>
      </c>
      <c r="BK58" s="198" t="s">
        <v>89</v>
      </c>
      <c r="BL58" s="262">
        <f t="shared" ref="BL58" si="545">ROUND(SUM(BL54:BL57),0)</f>
        <v>64808174</v>
      </c>
      <c r="BM58" s="162" t="str">
        <f t="shared" ref="BM58" si="546">+IF(BL58&gt;0,IF(BL58&lt;&gt;$H58,"NO VÁLIDA","VÁLIDA"),"NO VÁLIDA")</f>
        <v>VÁLIDA</v>
      </c>
      <c r="BN58"/>
    </row>
    <row r="59" spans="1:66" s="228" customFormat="1" ht="36.75" customHeight="1" thickBot="1" x14ac:dyDescent="0.25">
      <c r="A59" s="224"/>
      <c r="B59" s="255"/>
      <c r="C59" s="256"/>
      <c r="D59" s="257"/>
      <c r="E59" s="256"/>
      <c r="F59" s="258"/>
      <c r="G59" s="258" t="s">
        <v>117</v>
      </c>
      <c r="H59" s="259">
        <f>ROUND(SUM(H53,H58),0)</f>
        <v>1686541023</v>
      </c>
      <c r="I59" s="225"/>
      <c r="J59" s="264">
        <f>ROUND(SUM(J53,J58),0)</f>
        <v>1670322329</v>
      </c>
      <c r="K59" s="226"/>
      <c r="L59" s="225"/>
      <c r="M59" s="264">
        <f t="shared" ref="M59" si="547">ROUND(SUM(M53,M58),0)</f>
        <v>1651869773</v>
      </c>
      <c r="N59" s="226"/>
      <c r="O59" s="225"/>
      <c r="P59" s="264">
        <f t="shared" ref="P59" si="548">ROUND(SUM(P53,P58),0)</f>
        <v>0</v>
      </c>
      <c r="Q59" s="226"/>
      <c r="R59" s="225"/>
      <c r="S59" s="264">
        <f t="shared" ref="S59" si="549">ROUND(SUM(S53,S58),0)</f>
        <v>1670144084</v>
      </c>
      <c r="T59" s="226"/>
      <c r="U59" s="225"/>
      <c r="V59" s="264">
        <f t="shared" ref="V59" si="550">ROUND(SUM(V53,V58),0)</f>
        <v>0</v>
      </c>
      <c r="W59" s="226"/>
      <c r="X59" s="225"/>
      <c r="Y59" s="264">
        <f t="shared" ref="Y59" si="551">ROUND(SUM(Y53,Y58),0)</f>
        <v>1665451764</v>
      </c>
      <c r="Z59" s="226"/>
      <c r="AA59" s="225"/>
      <c r="AB59" s="264">
        <f t="shared" ref="AB59" si="552">ROUND(SUM(AB53,AB58),0)</f>
        <v>1675177935</v>
      </c>
      <c r="AC59" s="226"/>
      <c r="AD59" s="225"/>
      <c r="AE59" s="264">
        <f t="shared" ref="AE59" si="553">ROUND(SUM(AE53,AE58),0)</f>
        <v>0</v>
      </c>
      <c r="AF59" s="226"/>
      <c r="AG59" s="225"/>
      <c r="AH59" s="264">
        <f t="shared" ref="AH59" si="554">ROUND(SUM(AH53,AH58),0)</f>
        <v>1661242547</v>
      </c>
      <c r="AI59" s="226"/>
      <c r="AJ59" s="225"/>
      <c r="AK59" s="264">
        <f t="shared" ref="AK59" si="555">ROUND(SUM(AK53,AK58),0)</f>
        <v>0</v>
      </c>
      <c r="AL59" s="226"/>
      <c r="AM59" s="225"/>
      <c r="AN59" s="264">
        <f t="shared" ref="AN59" si="556">ROUND(SUM(AN53,AN58),0)</f>
        <v>0</v>
      </c>
      <c r="AO59" s="226"/>
      <c r="AP59" s="225"/>
      <c r="AQ59" s="264">
        <f t="shared" ref="AQ59" si="557">ROUND(SUM(AQ53,AQ58),0)</f>
        <v>0</v>
      </c>
      <c r="AR59" s="226"/>
      <c r="AS59" s="225"/>
      <c r="AT59" s="264">
        <f t="shared" ref="AT59" si="558">ROUND(SUM(AT53,AT58),0)</f>
        <v>1671420931</v>
      </c>
      <c r="AU59" s="226"/>
      <c r="AV59" s="225"/>
      <c r="AW59" s="264">
        <f t="shared" ref="AW59" si="559">ROUND(SUM(AW53,AW58),0)</f>
        <v>0</v>
      </c>
      <c r="AX59" s="226"/>
      <c r="AY59" s="225"/>
      <c r="AZ59" s="264">
        <f t="shared" ref="AZ59" si="560">ROUND(SUM(AZ53,AZ58),0)</f>
        <v>1663041047</v>
      </c>
      <c r="BA59" s="226"/>
      <c r="BB59" s="225"/>
      <c r="BC59" s="264">
        <f t="shared" ref="BC59" si="561">ROUND(SUM(BC53,BC58),0)</f>
        <v>1652780474</v>
      </c>
      <c r="BD59" s="226"/>
      <c r="BE59" s="225"/>
      <c r="BF59" s="264">
        <f t="shared" ref="BF59" si="562">ROUND(SUM(BF53,BF58),0)</f>
        <v>1667987223</v>
      </c>
      <c r="BG59" s="226"/>
      <c r="BH59" s="225"/>
      <c r="BI59" s="264">
        <f t="shared" ref="BI59" si="563">ROUND(SUM(BI53,BI58),0)</f>
        <v>1666610907</v>
      </c>
      <c r="BJ59" s="226"/>
      <c r="BK59" s="225"/>
      <c r="BL59" s="264">
        <f t="shared" ref="BL59" si="564">ROUND(SUM(BL53,BL58),0)</f>
        <v>1651023429</v>
      </c>
      <c r="BM59" s="226"/>
      <c r="BN59" s="227"/>
    </row>
    <row r="60" spans="1:66" s="40" customFormat="1" ht="36.75" customHeight="1" thickBot="1" x14ac:dyDescent="0.25">
      <c r="A60" s="39"/>
      <c r="B60" s="229" t="s">
        <v>103</v>
      </c>
      <c r="C60" s="167"/>
      <c r="D60" s="80"/>
      <c r="E60" s="168"/>
      <c r="F60" s="81"/>
      <c r="G60" s="81"/>
      <c r="H60" s="79">
        <f>ROUND(H59,0)</f>
        <v>1686541023</v>
      </c>
      <c r="I60" s="169"/>
      <c r="J60" s="170">
        <f>IF(I10="ADMISIBLE",IF(AND(K60="VÁLIDA",J59&lt;=$H$60,I62="",J59&gt;=$H$60*0.9),J59,"DESCARTADO"),I10)</f>
        <v>1670322329</v>
      </c>
      <c r="K60" s="162" t="str">
        <f>IF(COUNTIF(K15:K58,"NO VÁLIDA")&gt;0,"NO VÁLIDA","VÁLIDA")</f>
        <v>VÁLIDA</v>
      </c>
      <c r="L60" s="169"/>
      <c r="M60" s="170">
        <f t="shared" ref="M60" si="565">IF(L10="ADMISIBLE",IF(AND(N60="VÁLIDA",M59&lt;=$H$60,L62="",M59&gt;=$H$60*0.9),M59,"DESCARTADO"),L10)</f>
        <v>1651869773</v>
      </c>
      <c r="N60" s="162" t="str">
        <f t="shared" ref="N60" si="566">IF(COUNTIF(N15:N58,"NO VÁLIDA")&gt;0,"NO VÁLIDA","VÁLIDA")</f>
        <v>VÁLIDA</v>
      </c>
      <c r="O60" s="169"/>
      <c r="P60" s="170" t="str">
        <f t="shared" ref="P60" si="567">IF(O10="ADMISIBLE",IF(AND(Q60="VÁLIDA",P59&lt;=$H$60,O62="",P59&gt;=$H$60*0.9),P59,"DESCARTADO"),O10)</f>
        <v>RECHAZO</v>
      </c>
      <c r="Q60" s="162" t="str">
        <f t="shared" ref="Q60" si="568">IF(COUNTIF(Q15:Q58,"NO VÁLIDA")&gt;0,"NO VÁLIDA","VÁLIDA")</f>
        <v>NO VÁLIDA</v>
      </c>
      <c r="R60" s="169"/>
      <c r="S60" s="170">
        <f t="shared" ref="S60" si="569">IF(R10="ADMISIBLE",IF(AND(T60="VÁLIDA",S59&lt;=$H$60,R62="",S59&gt;=$H$60*0.9),S59,"DESCARTADO"),R10)</f>
        <v>1670144084</v>
      </c>
      <c r="T60" s="162" t="str">
        <f t="shared" ref="T60" si="570">IF(COUNTIF(T15:T58,"NO VÁLIDA")&gt;0,"NO VÁLIDA","VÁLIDA")</f>
        <v>VÁLIDA</v>
      </c>
      <c r="U60" s="169"/>
      <c r="V60" s="170" t="str">
        <f t="shared" ref="V60" si="571">IF(U10="ADMISIBLE",IF(AND(W60="VÁLIDA",V59&lt;=$H$60,U62="",V59&gt;=$H$60*0.9),V59,"DESCARTADO"),U10)</f>
        <v>RECHAZO</v>
      </c>
      <c r="W60" s="162" t="str">
        <f t="shared" ref="W60" si="572">IF(COUNTIF(W15:W58,"NO VÁLIDA")&gt;0,"NO VÁLIDA","VÁLIDA")</f>
        <v>NO VÁLIDA</v>
      </c>
      <c r="X60" s="169"/>
      <c r="Y60" s="170">
        <f t="shared" ref="Y60" si="573">IF(X10="ADMISIBLE",IF(AND(Z60="VÁLIDA",Y59&lt;=$H$60,X62="",Y59&gt;=$H$60*0.9),Y59,"DESCARTADO"),X10)</f>
        <v>1665451764</v>
      </c>
      <c r="Z60" s="162" t="str">
        <f t="shared" ref="Z60" si="574">IF(COUNTIF(Z15:Z58,"NO VÁLIDA")&gt;0,"NO VÁLIDA","VÁLIDA")</f>
        <v>VÁLIDA</v>
      </c>
      <c r="AA60" s="169"/>
      <c r="AB60" s="170">
        <f t="shared" ref="AB60" si="575">IF(AA10="ADMISIBLE",IF(AND(AC60="VÁLIDA",AB59&lt;=$H$60,AA62="",AB59&gt;=$H$60*0.9),AB59,"DESCARTADO"),AA10)</f>
        <v>1675177935</v>
      </c>
      <c r="AC60" s="162" t="str">
        <f t="shared" ref="AC60" si="576">IF(COUNTIF(AC15:AC58,"NO VÁLIDA")&gt;0,"NO VÁLIDA","VÁLIDA")</f>
        <v>VÁLIDA</v>
      </c>
      <c r="AD60" s="169"/>
      <c r="AE60" s="170" t="str">
        <f t="shared" ref="AE60" si="577">IF(AD10="ADMISIBLE",IF(AND(AF60="VÁLIDA",AE59&lt;=$H$60,AD62="",AE59&gt;=$H$60*0.9),AE59,"DESCARTADO"),AD10)</f>
        <v>RECHAZO</v>
      </c>
      <c r="AF60" s="162" t="str">
        <f t="shared" ref="AF60" si="578">IF(COUNTIF(AF15:AF58,"NO VÁLIDA")&gt;0,"NO VÁLIDA","VÁLIDA")</f>
        <v>NO VÁLIDA</v>
      </c>
      <c r="AG60" s="169"/>
      <c r="AH60" s="170">
        <f t="shared" ref="AH60" si="579">IF(AG10="ADMISIBLE",IF(AND(AI60="VÁLIDA",AH59&lt;=$H$60,AG62="",AH59&gt;=$H$60*0.9),AH59,"DESCARTADO"),AG10)</f>
        <v>1661242547</v>
      </c>
      <c r="AI60" s="162" t="str">
        <f t="shared" ref="AI60" si="580">IF(COUNTIF(AI15:AI58,"NO VÁLIDA")&gt;0,"NO VÁLIDA","VÁLIDA")</f>
        <v>VÁLIDA</v>
      </c>
      <c r="AJ60" s="169"/>
      <c r="AK60" s="170" t="str">
        <f t="shared" ref="AK60" si="581">IF(AJ10="ADMISIBLE",IF(AND(AL60="VÁLIDA",AK59&lt;=$H$60,AJ62="",AK59&gt;=$H$60*0.9),AK59,"DESCARTADO"),AJ10)</f>
        <v>RECHAZO</v>
      </c>
      <c r="AL60" s="162" t="str">
        <f t="shared" ref="AL60" si="582">IF(COUNTIF(AL15:AL58,"NO VÁLIDA")&gt;0,"NO VÁLIDA","VÁLIDA")</f>
        <v>NO VÁLIDA</v>
      </c>
      <c r="AM60" s="169"/>
      <c r="AN60" s="170" t="str">
        <f t="shared" ref="AN60" si="583">IF(AM10="ADMISIBLE",IF(AND(AO60="VÁLIDA",AN59&lt;=$H$60,AM62="",AN59&gt;=$H$60*0.9),AN59,"DESCARTADO"),AM10)</f>
        <v>RECHAZO</v>
      </c>
      <c r="AO60" s="162" t="str">
        <f t="shared" ref="AO60" si="584">IF(COUNTIF(AO15:AO58,"NO VÁLIDA")&gt;0,"NO VÁLIDA","VÁLIDA")</f>
        <v>NO VÁLIDA</v>
      </c>
      <c r="AP60" s="169"/>
      <c r="AQ60" s="170" t="str">
        <f t="shared" ref="AQ60" si="585">IF(AP10="ADMISIBLE",IF(AND(AR60="VÁLIDA",AQ59&lt;=$H$60,AP62="",AQ59&gt;=$H$60*0.9),AQ59,"DESCARTADO"),AP10)</f>
        <v>RECHAZO</v>
      </c>
      <c r="AR60" s="162" t="str">
        <f t="shared" ref="AR60" si="586">IF(COUNTIF(AR15:AR58,"NO VÁLIDA")&gt;0,"NO VÁLIDA","VÁLIDA")</f>
        <v>NO VÁLIDA</v>
      </c>
      <c r="AS60" s="169"/>
      <c r="AT60" s="170">
        <f t="shared" ref="AT60" si="587">IF(AS10="ADMISIBLE",IF(AND(AU60="VÁLIDA",AT59&lt;=$H$60,AS62="",AT59&gt;=$H$60*0.9),AT59,"DESCARTADO"),AS10)</f>
        <v>1671420931</v>
      </c>
      <c r="AU60" s="162" t="str">
        <f t="shared" ref="AU60" si="588">IF(COUNTIF(AU15:AU58,"NO VÁLIDA")&gt;0,"NO VÁLIDA","VÁLIDA")</f>
        <v>VÁLIDA</v>
      </c>
      <c r="AV60" s="169"/>
      <c r="AW60" s="170" t="str">
        <f t="shared" ref="AW60" si="589">IF(AV10="ADMISIBLE",IF(AND(AX60="VÁLIDA",AW59&lt;=$H$60,AV62="",AW59&gt;=$H$60*0.9),AW59,"DESCARTADO"),AV10)</f>
        <v>RECHAZO</v>
      </c>
      <c r="AX60" s="162" t="str">
        <f t="shared" ref="AX60" si="590">IF(COUNTIF(AX15:AX58,"NO VÁLIDA")&gt;0,"NO VÁLIDA","VÁLIDA")</f>
        <v>NO VÁLIDA</v>
      </c>
      <c r="AY60" s="169"/>
      <c r="AZ60" s="170" t="str">
        <f t="shared" ref="AZ60" si="591">IF(AY10="ADMISIBLE",IF(AND(BA60="VÁLIDA",AZ59&lt;=$H$60,AY62="",AZ59&gt;=$H$60*0.9),AZ59,"DESCARTADO"),AY10)</f>
        <v>DESCARTADO</v>
      </c>
      <c r="BA60" s="162" t="str">
        <f t="shared" ref="BA60" si="592">IF(COUNTIF(BA15:BA58,"NO VÁLIDA")&gt;0,"NO VÁLIDA","VÁLIDA")</f>
        <v>NO VÁLIDA</v>
      </c>
      <c r="BB60" s="169"/>
      <c r="BC60" s="170">
        <f t="shared" ref="BC60" si="593">IF(BB10="ADMISIBLE",IF(AND(BD60="VÁLIDA",BC59&lt;=$H$60,BB62="",BC59&gt;=$H$60*0.9),BC59,"DESCARTADO"),BB10)</f>
        <v>1652780474</v>
      </c>
      <c r="BD60" s="162" t="str">
        <f t="shared" ref="BD60" si="594">IF(COUNTIF(BD15:BD58,"NO VÁLIDA")&gt;0,"NO VÁLIDA","VÁLIDA")</f>
        <v>VÁLIDA</v>
      </c>
      <c r="BE60" s="169"/>
      <c r="BF60" s="170">
        <f t="shared" ref="BF60" si="595">IF(BE10="ADMISIBLE",IF(AND(BG60="VÁLIDA",BF59&lt;=$H$60,BE62="",BF59&gt;=$H$60*0.9),BF59,"DESCARTADO"),BE10)</f>
        <v>1667987223</v>
      </c>
      <c r="BG60" s="162" t="str">
        <f t="shared" ref="BG60" si="596">IF(COUNTIF(BG15:BG58,"NO VÁLIDA")&gt;0,"NO VÁLIDA","VÁLIDA")</f>
        <v>VÁLIDA</v>
      </c>
      <c r="BH60" s="169"/>
      <c r="BI60" s="170">
        <f t="shared" ref="BI60" si="597">IF(BH10="ADMISIBLE",IF(AND(BJ60="VÁLIDA",BI59&lt;=$H$60,BH62="",BI59&gt;=$H$60*0.9),BI59,"DESCARTADO"),BH10)</f>
        <v>1666610907</v>
      </c>
      <c r="BJ60" s="162" t="str">
        <f t="shared" ref="BJ60" si="598">IF(COUNTIF(BJ15:BJ58,"NO VÁLIDA")&gt;0,"NO VÁLIDA","VÁLIDA")</f>
        <v>VÁLIDA</v>
      </c>
      <c r="BK60" s="169"/>
      <c r="BL60" s="170">
        <f t="shared" ref="BL60" si="599">IF(BK10="ADMISIBLE",IF(AND(BM60="VÁLIDA",BL59&lt;=$H$60,BK62="",BL59&gt;=$H$60*0.9),BL59,"DESCARTADO"),BK10)</f>
        <v>1651023429</v>
      </c>
      <c r="BM60" s="162" t="str">
        <f t="shared" ref="BM60" si="600">IF(COUNTIF(BM15:BM58,"NO VÁLIDA")&gt;0,"NO VÁLIDA","VÁLIDA")</f>
        <v>VÁLIDA</v>
      </c>
      <c r="BN60"/>
    </row>
    <row r="61" spans="1:66" s="9" customFormat="1" ht="19.5" thickTop="1" thickBot="1" x14ac:dyDescent="0.3">
      <c r="A61" s="22"/>
      <c r="B61" s="14"/>
      <c r="C61" s="14"/>
      <c r="D61" s="23"/>
      <c r="E61" s="23"/>
      <c r="F61" s="23"/>
      <c r="G61" s="28"/>
      <c r="H61" s="28"/>
      <c r="I61" s="339">
        <f>I11</f>
        <v>2</v>
      </c>
      <c r="J61" s="340"/>
      <c r="K61" s="341"/>
      <c r="L61" s="339">
        <f>L11</f>
        <v>6</v>
      </c>
      <c r="M61" s="340"/>
      <c r="N61" s="341"/>
      <c r="O61" s="339">
        <f>O11</f>
        <v>8</v>
      </c>
      <c r="P61" s="340"/>
      <c r="Q61" s="341"/>
      <c r="R61" s="339">
        <f>R11</f>
        <v>9</v>
      </c>
      <c r="S61" s="340"/>
      <c r="T61" s="341"/>
      <c r="U61" s="339">
        <f>U11</f>
        <v>10</v>
      </c>
      <c r="V61" s="340"/>
      <c r="W61" s="341"/>
      <c r="X61" s="339">
        <f>X11</f>
        <v>11</v>
      </c>
      <c r="Y61" s="340"/>
      <c r="Z61" s="341"/>
      <c r="AA61" s="339">
        <f>AA11</f>
        <v>14</v>
      </c>
      <c r="AB61" s="340"/>
      <c r="AC61" s="341"/>
      <c r="AD61" s="339">
        <f>AD11</f>
        <v>15</v>
      </c>
      <c r="AE61" s="340"/>
      <c r="AF61" s="341"/>
      <c r="AG61" s="339">
        <f>AG11</f>
        <v>16</v>
      </c>
      <c r="AH61" s="340"/>
      <c r="AI61" s="341"/>
      <c r="AJ61" s="339">
        <f>AJ11</f>
        <v>17</v>
      </c>
      <c r="AK61" s="340"/>
      <c r="AL61" s="341"/>
      <c r="AM61" s="339">
        <f>AM11</f>
        <v>18</v>
      </c>
      <c r="AN61" s="340"/>
      <c r="AO61" s="341"/>
      <c r="AP61" s="339">
        <f>AP11</f>
        <v>19</v>
      </c>
      <c r="AQ61" s="340"/>
      <c r="AR61" s="341"/>
      <c r="AS61" s="339">
        <f>AS11</f>
        <v>28</v>
      </c>
      <c r="AT61" s="340"/>
      <c r="AU61" s="341"/>
      <c r="AV61" s="339">
        <f>AV11</f>
        <v>29</v>
      </c>
      <c r="AW61" s="340"/>
      <c r="AX61" s="341"/>
      <c r="AY61" s="339">
        <f>AY11</f>
        <v>32</v>
      </c>
      <c r="AZ61" s="340"/>
      <c r="BA61" s="341"/>
      <c r="BB61" s="339">
        <f>BB11</f>
        <v>34</v>
      </c>
      <c r="BC61" s="340"/>
      <c r="BD61" s="341"/>
      <c r="BE61" s="339">
        <f>BE11</f>
        <v>35</v>
      </c>
      <c r="BF61" s="340"/>
      <c r="BG61" s="341"/>
      <c r="BH61" s="339">
        <f>BH11</f>
        <v>36</v>
      </c>
      <c r="BI61" s="340"/>
      <c r="BJ61" s="341"/>
      <c r="BK61" s="339">
        <f>BK11</f>
        <v>37</v>
      </c>
      <c r="BL61" s="340"/>
      <c r="BM61" s="341"/>
      <c r="BN61"/>
    </row>
    <row r="62" spans="1:66" ht="18.75" customHeight="1" thickTop="1" x14ac:dyDescent="0.2">
      <c r="A62" s="11"/>
      <c r="D62" s="11"/>
      <c r="E62" s="11"/>
      <c r="F62" s="11"/>
      <c r="G62" s="29"/>
      <c r="H62" s="360" t="s">
        <v>36</v>
      </c>
      <c r="I62" s="348"/>
      <c r="J62" s="349"/>
      <c r="K62" s="350"/>
      <c r="L62" s="348"/>
      <c r="M62" s="349"/>
      <c r="N62" s="350"/>
      <c r="O62" s="348"/>
      <c r="P62" s="349"/>
      <c r="Q62" s="350"/>
      <c r="R62" s="348"/>
      <c r="S62" s="349"/>
      <c r="T62" s="350"/>
      <c r="U62" s="348"/>
      <c r="V62" s="349"/>
      <c r="W62" s="350"/>
      <c r="X62" s="348"/>
      <c r="Y62" s="349"/>
      <c r="Z62" s="350"/>
      <c r="AA62" s="348"/>
      <c r="AB62" s="349"/>
      <c r="AC62" s="350"/>
      <c r="AD62" s="348"/>
      <c r="AE62" s="349"/>
      <c r="AF62" s="350"/>
      <c r="AG62" s="348"/>
      <c r="AH62" s="349"/>
      <c r="AI62" s="350"/>
      <c r="AJ62" s="348"/>
      <c r="AK62" s="349"/>
      <c r="AL62" s="350"/>
      <c r="AM62" s="348"/>
      <c r="AN62" s="349"/>
      <c r="AO62" s="350"/>
      <c r="AP62" s="348"/>
      <c r="AQ62" s="349"/>
      <c r="AR62" s="350"/>
      <c r="AS62" s="348"/>
      <c r="AT62" s="349"/>
      <c r="AU62" s="350"/>
      <c r="AV62" s="348"/>
      <c r="AW62" s="349"/>
      <c r="AX62" s="350"/>
      <c r="AY62" s="348" t="s">
        <v>208</v>
      </c>
      <c r="AZ62" s="349"/>
      <c r="BA62" s="350"/>
      <c r="BB62" s="348"/>
      <c r="BC62" s="349"/>
      <c r="BD62" s="350"/>
      <c r="BE62" s="348"/>
      <c r="BF62" s="349"/>
      <c r="BG62" s="350"/>
      <c r="BH62" s="348"/>
      <c r="BI62" s="349"/>
      <c r="BJ62" s="350"/>
      <c r="BK62" s="348"/>
      <c r="BL62" s="349"/>
      <c r="BM62" s="350"/>
    </row>
    <row r="63" spans="1:66" ht="18.75" customHeight="1" x14ac:dyDescent="0.2">
      <c r="H63" s="361"/>
      <c r="I63" s="351"/>
      <c r="J63" s="352"/>
      <c r="K63" s="353"/>
      <c r="L63" s="351"/>
      <c r="M63" s="352"/>
      <c r="N63" s="353"/>
      <c r="O63" s="351"/>
      <c r="P63" s="352"/>
      <c r="Q63" s="353"/>
      <c r="R63" s="351"/>
      <c r="S63" s="352"/>
      <c r="T63" s="353"/>
      <c r="U63" s="351"/>
      <c r="V63" s="352"/>
      <c r="W63" s="353"/>
      <c r="X63" s="351"/>
      <c r="Y63" s="352"/>
      <c r="Z63" s="353"/>
      <c r="AA63" s="351"/>
      <c r="AB63" s="352"/>
      <c r="AC63" s="353"/>
      <c r="AD63" s="351"/>
      <c r="AE63" s="352"/>
      <c r="AF63" s="353"/>
      <c r="AG63" s="351"/>
      <c r="AH63" s="352"/>
      <c r="AI63" s="353"/>
      <c r="AJ63" s="351"/>
      <c r="AK63" s="352"/>
      <c r="AL63" s="353"/>
      <c r="AM63" s="351"/>
      <c r="AN63" s="352"/>
      <c r="AO63" s="353"/>
      <c r="AP63" s="351"/>
      <c r="AQ63" s="352"/>
      <c r="AR63" s="353"/>
      <c r="AS63" s="351"/>
      <c r="AT63" s="352"/>
      <c r="AU63" s="353"/>
      <c r="AV63" s="351"/>
      <c r="AW63" s="352"/>
      <c r="AX63" s="353"/>
      <c r="AY63" s="351"/>
      <c r="AZ63" s="352"/>
      <c r="BA63" s="353"/>
      <c r="BB63" s="351"/>
      <c r="BC63" s="352"/>
      <c r="BD63" s="353"/>
      <c r="BE63" s="351"/>
      <c r="BF63" s="352"/>
      <c r="BG63" s="353"/>
      <c r="BH63" s="351"/>
      <c r="BI63" s="352"/>
      <c r="BJ63" s="353"/>
      <c r="BK63" s="351"/>
      <c r="BL63" s="352"/>
      <c r="BM63" s="353"/>
    </row>
    <row r="64" spans="1:66" ht="18.75" customHeight="1" x14ac:dyDescent="0.2">
      <c r="H64" s="361"/>
      <c r="I64" s="351"/>
      <c r="J64" s="352"/>
      <c r="K64" s="353"/>
      <c r="L64" s="351"/>
      <c r="M64" s="352"/>
      <c r="N64" s="353"/>
      <c r="O64" s="351"/>
      <c r="P64" s="352"/>
      <c r="Q64" s="353"/>
      <c r="R64" s="351"/>
      <c r="S64" s="352"/>
      <c r="T64" s="353"/>
      <c r="U64" s="351"/>
      <c r="V64" s="352"/>
      <c r="W64" s="353"/>
      <c r="X64" s="351"/>
      <c r="Y64" s="352"/>
      <c r="Z64" s="353"/>
      <c r="AA64" s="351"/>
      <c r="AB64" s="352"/>
      <c r="AC64" s="353"/>
      <c r="AD64" s="351"/>
      <c r="AE64" s="352"/>
      <c r="AF64" s="353"/>
      <c r="AG64" s="351"/>
      <c r="AH64" s="352"/>
      <c r="AI64" s="353"/>
      <c r="AJ64" s="351"/>
      <c r="AK64" s="352"/>
      <c r="AL64" s="353"/>
      <c r="AM64" s="351"/>
      <c r="AN64" s="352"/>
      <c r="AO64" s="353"/>
      <c r="AP64" s="351"/>
      <c r="AQ64" s="352"/>
      <c r="AR64" s="353"/>
      <c r="AS64" s="351"/>
      <c r="AT64" s="352"/>
      <c r="AU64" s="353"/>
      <c r="AV64" s="351"/>
      <c r="AW64" s="352"/>
      <c r="AX64" s="353"/>
      <c r="AY64" s="351"/>
      <c r="AZ64" s="352"/>
      <c r="BA64" s="353"/>
      <c r="BB64" s="351"/>
      <c r="BC64" s="352"/>
      <c r="BD64" s="353"/>
      <c r="BE64" s="351"/>
      <c r="BF64" s="352"/>
      <c r="BG64" s="353"/>
      <c r="BH64" s="351"/>
      <c r="BI64" s="352"/>
      <c r="BJ64" s="353"/>
      <c r="BK64" s="351"/>
      <c r="BL64" s="352"/>
      <c r="BM64" s="353"/>
    </row>
    <row r="65" spans="1:66" ht="18.75" customHeight="1" thickBot="1" x14ac:dyDescent="0.25">
      <c r="H65" s="362"/>
      <c r="I65" s="354"/>
      <c r="J65" s="355"/>
      <c r="K65" s="356"/>
      <c r="L65" s="354"/>
      <c r="M65" s="355"/>
      <c r="N65" s="356"/>
      <c r="O65" s="354"/>
      <c r="P65" s="355"/>
      <c r="Q65" s="356"/>
      <c r="R65" s="354"/>
      <c r="S65" s="355"/>
      <c r="T65" s="356"/>
      <c r="U65" s="354"/>
      <c r="V65" s="355"/>
      <c r="W65" s="356"/>
      <c r="X65" s="354"/>
      <c r="Y65" s="355"/>
      <c r="Z65" s="356"/>
      <c r="AA65" s="354"/>
      <c r="AB65" s="355"/>
      <c r="AC65" s="356"/>
      <c r="AD65" s="354"/>
      <c r="AE65" s="355"/>
      <c r="AF65" s="356"/>
      <c r="AG65" s="354"/>
      <c r="AH65" s="355"/>
      <c r="AI65" s="356"/>
      <c r="AJ65" s="354"/>
      <c r="AK65" s="355"/>
      <c r="AL65" s="356"/>
      <c r="AM65" s="354"/>
      <c r="AN65" s="355"/>
      <c r="AO65" s="356"/>
      <c r="AP65" s="354"/>
      <c r="AQ65" s="355"/>
      <c r="AR65" s="356"/>
      <c r="AS65" s="354"/>
      <c r="AT65" s="355"/>
      <c r="AU65" s="356"/>
      <c r="AV65" s="354"/>
      <c r="AW65" s="355"/>
      <c r="AX65" s="356"/>
      <c r="AY65" s="354"/>
      <c r="AZ65" s="355"/>
      <c r="BA65" s="356"/>
      <c r="BB65" s="354"/>
      <c r="BC65" s="355"/>
      <c r="BD65" s="356"/>
      <c r="BE65" s="354"/>
      <c r="BF65" s="355"/>
      <c r="BG65" s="356"/>
      <c r="BH65" s="354"/>
      <c r="BI65" s="355"/>
      <c r="BJ65" s="356"/>
      <c r="BK65" s="354"/>
      <c r="BL65" s="355"/>
      <c r="BM65" s="356"/>
    </row>
    <row r="66" spans="1:66" ht="18.75" customHeight="1" thickTop="1" x14ac:dyDescent="0.2">
      <c r="B66" s="2"/>
      <c r="C66" s="2"/>
      <c r="G66" s="2"/>
      <c r="H66" s="360" t="s">
        <v>81</v>
      </c>
      <c r="I66" s="348"/>
      <c r="J66" s="349"/>
      <c r="K66" s="350"/>
      <c r="L66" s="348" t="s">
        <v>209</v>
      </c>
      <c r="M66" s="349"/>
      <c r="N66" s="350"/>
      <c r="O66" s="348"/>
      <c r="P66" s="349"/>
      <c r="Q66" s="350"/>
      <c r="R66" s="348" t="s">
        <v>209</v>
      </c>
      <c r="S66" s="349"/>
      <c r="T66" s="350"/>
      <c r="U66" s="348"/>
      <c r="V66" s="349"/>
      <c r="W66" s="350"/>
      <c r="X66" s="348" t="s">
        <v>207</v>
      </c>
      <c r="Y66" s="349"/>
      <c r="Z66" s="350"/>
      <c r="AA66" s="348" t="s">
        <v>207</v>
      </c>
      <c r="AB66" s="349"/>
      <c r="AC66" s="350"/>
      <c r="AD66" s="348"/>
      <c r="AE66" s="349"/>
      <c r="AF66" s="350"/>
      <c r="AG66" s="348"/>
      <c r="AH66" s="349"/>
      <c r="AI66" s="350"/>
      <c r="AJ66" s="348"/>
      <c r="AK66" s="349"/>
      <c r="AL66" s="350"/>
      <c r="AM66" s="348"/>
      <c r="AN66" s="349"/>
      <c r="AO66" s="350"/>
      <c r="AP66" s="348"/>
      <c r="AQ66" s="349"/>
      <c r="AR66" s="350"/>
      <c r="AS66" s="348" t="s">
        <v>206</v>
      </c>
      <c r="AT66" s="349"/>
      <c r="AU66" s="350"/>
      <c r="AV66" s="348"/>
      <c r="AW66" s="349"/>
      <c r="AX66" s="350"/>
      <c r="AY66" s="348"/>
      <c r="AZ66" s="349"/>
      <c r="BA66" s="350"/>
      <c r="BB66" s="348"/>
      <c r="BC66" s="349"/>
      <c r="BD66" s="350"/>
      <c r="BE66" s="348"/>
      <c r="BF66" s="349"/>
      <c r="BG66" s="350"/>
      <c r="BH66" s="348" t="s">
        <v>210</v>
      </c>
      <c r="BI66" s="349"/>
      <c r="BJ66" s="350"/>
      <c r="BK66" s="348"/>
      <c r="BL66" s="349"/>
      <c r="BM66" s="350"/>
    </row>
    <row r="67" spans="1:66" ht="18.75" customHeight="1" x14ac:dyDescent="0.2">
      <c r="H67" s="361"/>
      <c r="I67" s="351"/>
      <c r="J67" s="352"/>
      <c r="K67" s="353"/>
      <c r="L67" s="351"/>
      <c r="M67" s="352"/>
      <c r="N67" s="353"/>
      <c r="O67" s="351"/>
      <c r="P67" s="352"/>
      <c r="Q67" s="353"/>
      <c r="R67" s="351"/>
      <c r="S67" s="352"/>
      <c r="T67" s="353"/>
      <c r="U67" s="351"/>
      <c r="V67" s="352"/>
      <c r="W67" s="353"/>
      <c r="X67" s="351"/>
      <c r="Y67" s="352"/>
      <c r="Z67" s="353"/>
      <c r="AA67" s="351"/>
      <c r="AB67" s="352"/>
      <c r="AC67" s="353"/>
      <c r="AD67" s="351"/>
      <c r="AE67" s="352"/>
      <c r="AF67" s="353"/>
      <c r="AG67" s="351"/>
      <c r="AH67" s="352"/>
      <c r="AI67" s="353"/>
      <c r="AJ67" s="351"/>
      <c r="AK67" s="352"/>
      <c r="AL67" s="353"/>
      <c r="AM67" s="351"/>
      <c r="AN67" s="352"/>
      <c r="AO67" s="353"/>
      <c r="AP67" s="351"/>
      <c r="AQ67" s="352"/>
      <c r="AR67" s="353"/>
      <c r="AS67" s="351"/>
      <c r="AT67" s="352"/>
      <c r="AU67" s="353"/>
      <c r="AV67" s="351"/>
      <c r="AW67" s="352"/>
      <c r="AX67" s="353"/>
      <c r="AY67" s="351"/>
      <c r="AZ67" s="352"/>
      <c r="BA67" s="353"/>
      <c r="BB67" s="351"/>
      <c r="BC67" s="352"/>
      <c r="BD67" s="353"/>
      <c r="BE67" s="351"/>
      <c r="BF67" s="352"/>
      <c r="BG67" s="353"/>
      <c r="BH67" s="351"/>
      <c r="BI67" s="352"/>
      <c r="BJ67" s="353"/>
      <c r="BK67" s="351"/>
      <c r="BL67" s="352"/>
      <c r="BM67" s="353"/>
    </row>
    <row r="68" spans="1:66" ht="18.75" customHeight="1" x14ac:dyDescent="0.2">
      <c r="H68" s="361"/>
      <c r="I68" s="351"/>
      <c r="J68" s="352"/>
      <c r="K68" s="353"/>
      <c r="L68" s="351"/>
      <c r="M68" s="352"/>
      <c r="N68" s="353"/>
      <c r="O68" s="351"/>
      <c r="P68" s="352"/>
      <c r="Q68" s="353"/>
      <c r="R68" s="351"/>
      <c r="S68" s="352"/>
      <c r="T68" s="353"/>
      <c r="U68" s="351"/>
      <c r="V68" s="352"/>
      <c r="W68" s="353"/>
      <c r="X68" s="351"/>
      <c r="Y68" s="352"/>
      <c r="Z68" s="353"/>
      <c r="AA68" s="351"/>
      <c r="AB68" s="352"/>
      <c r="AC68" s="353"/>
      <c r="AD68" s="351"/>
      <c r="AE68" s="352"/>
      <c r="AF68" s="353"/>
      <c r="AG68" s="351"/>
      <c r="AH68" s="352"/>
      <c r="AI68" s="353"/>
      <c r="AJ68" s="351"/>
      <c r="AK68" s="352"/>
      <c r="AL68" s="353"/>
      <c r="AM68" s="351"/>
      <c r="AN68" s="352"/>
      <c r="AO68" s="353"/>
      <c r="AP68" s="351"/>
      <c r="AQ68" s="352"/>
      <c r="AR68" s="353"/>
      <c r="AS68" s="351"/>
      <c r="AT68" s="352"/>
      <c r="AU68" s="353"/>
      <c r="AV68" s="351"/>
      <c r="AW68" s="352"/>
      <c r="AX68" s="353"/>
      <c r="AY68" s="351"/>
      <c r="AZ68" s="352"/>
      <c r="BA68" s="353"/>
      <c r="BB68" s="351"/>
      <c r="BC68" s="352"/>
      <c r="BD68" s="353"/>
      <c r="BE68" s="351"/>
      <c r="BF68" s="352"/>
      <c r="BG68" s="353"/>
      <c r="BH68" s="351"/>
      <c r="BI68" s="352"/>
      <c r="BJ68" s="353"/>
      <c r="BK68" s="351"/>
      <c r="BL68" s="352"/>
      <c r="BM68" s="353"/>
    </row>
    <row r="69" spans="1:66" ht="18.75" customHeight="1" thickBot="1" x14ac:dyDescent="0.25">
      <c r="B69" s="2"/>
      <c r="C69" s="2"/>
      <c r="G69" s="2"/>
      <c r="H69" s="362"/>
      <c r="I69" s="354"/>
      <c r="J69" s="355"/>
      <c r="K69" s="356"/>
      <c r="L69" s="354"/>
      <c r="M69" s="355"/>
      <c r="N69" s="356"/>
      <c r="O69" s="354"/>
      <c r="P69" s="355"/>
      <c r="Q69" s="356"/>
      <c r="R69" s="354"/>
      <c r="S69" s="355"/>
      <c r="T69" s="356"/>
      <c r="U69" s="354"/>
      <c r="V69" s="355"/>
      <c r="W69" s="356"/>
      <c r="X69" s="354"/>
      <c r="Y69" s="355"/>
      <c r="Z69" s="356"/>
      <c r="AA69" s="354"/>
      <c r="AB69" s="355"/>
      <c r="AC69" s="356"/>
      <c r="AD69" s="354"/>
      <c r="AE69" s="355"/>
      <c r="AF69" s="356"/>
      <c r="AG69" s="354"/>
      <c r="AH69" s="355"/>
      <c r="AI69" s="356"/>
      <c r="AJ69" s="354"/>
      <c r="AK69" s="355"/>
      <c r="AL69" s="356"/>
      <c r="AM69" s="354"/>
      <c r="AN69" s="355"/>
      <c r="AO69" s="356"/>
      <c r="AP69" s="354"/>
      <c r="AQ69" s="355"/>
      <c r="AR69" s="356"/>
      <c r="AS69" s="354"/>
      <c r="AT69" s="355"/>
      <c r="AU69" s="356"/>
      <c r="AV69" s="354"/>
      <c r="AW69" s="355"/>
      <c r="AX69" s="356"/>
      <c r="AY69" s="354"/>
      <c r="AZ69" s="355"/>
      <c r="BA69" s="356"/>
      <c r="BB69" s="354"/>
      <c r="BC69" s="355"/>
      <c r="BD69" s="356"/>
      <c r="BE69" s="354"/>
      <c r="BF69" s="355"/>
      <c r="BG69" s="356"/>
      <c r="BH69" s="354"/>
      <c r="BI69" s="355"/>
      <c r="BJ69" s="356"/>
      <c r="BK69" s="354"/>
      <c r="BL69" s="355"/>
      <c r="BM69" s="356"/>
    </row>
    <row r="70" spans="1:66" s="181" customFormat="1" ht="13.5" thickTop="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15" t="s">
        <v>211</v>
      </c>
      <c r="BD70" s="3"/>
      <c r="BE70" s="3"/>
      <c r="BF70" s="3"/>
      <c r="BG70" s="3"/>
      <c r="BH70" s="3"/>
      <c r="BI70" s="3"/>
      <c r="BJ70" s="3"/>
      <c r="BK70" s="3"/>
      <c r="BL70" s="3"/>
      <c r="BM70" s="3"/>
      <c r="BN70"/>
    </row>
    <row r="71" spans="1:66" x14ac:dyDescent="0.2">
      <c r="L71" s="12"/>
      <c r="M71" s="12"/>
      <c r="N71" s="16"/>
      <c r="O71" s="12"/>
      <c r="P71" s="12"/>
      <c r="Q71" s="16"/>
      <c r="R71" s="12"/>
      <c r="S71" s="12"/>
      <c r="T71" s="16"/>
      <c r="U71" s="12"/>
      <c r="V71" s="12"/>
      <c r="W71" s="16"/>
      <c r="X71" s="12"/>
      <c r="Y71" s="12"/>
      <c r="Z71" s="16"/>
      <c r="AA71" s="12"/>
      <c r="AB71" s="12"/>
      <c r="AC71" s="16"/>
      <c r="AD71" s="12"/>
      <c r="AE71" s="12"/>
      <c r="AF71" s="16"/>
      <c r="AG71" s="12"/>
      <c r="AH71" s="12"/>
      <c r="AI71" s="16"/>
      <c r="AJ71" s="12"/>
      <c r="AK71" s="12"/>
      <c r="AL71" s="16"/>
      <c r="AM71" s="12"/>
      <c r="AN71" s="12"/>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row>
    <row r="72" spans="1:66" x14ac:dyDescent="0.2">
      <c r="L72" s="12"/>
      <c r="M72" s="12"/>
      <c r="N72" s="16"/>
      <c r="O72" s="12"/>
      <c r="P72" s="12"/>
      <c r="Q72" s="16"/>
      <c r="R72" s="12"/>
      <c r="S72" s="12"/>
      <c r="T72" s="16"/>
      <c r="U72" s="12"/>
      <c r="V72" s="12"/>
      <c r="W72" s="16"/>
      <c r="X72" s="12"/>
      <c r="Y72" s="12"/>
      <c r="Z72" s="16"/>
      <c r="AA72" s="12"/>
      <c r="AB72" s="12"/>
      <c r="AC72" s="16"/>
      <c r="AD72" s="12"/>
      <c r="AE72" s="12"/>
      <c r="AF72" s="16"/>
      <c r="AG72" s="12"/>
      <c r="AH72" s="12"/>
      <c r="AI72" s="16"/>
      <c r="AJ72" s="12"/>
      <c r="AK72" s="12"/>
      <c r="AL72" s="16"/>
      <c r="AM72" s="12"/>
      <c r="AN72" s="12"/>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row>
    <row r="73" spans="1:66" x14ac:dyDescent="0.2">
      <c r="J73" s="201"/>
      <c r="L73" s="12"/>
      <c r="M73" s="12"/>
      <c r="N73" s="16"/>
      <c r="O73" s="12"/>
      <c r="P73" s="12"/>
      <c r="Q73" s="16"/>
      <c r="R73" s="12"/>
      <c r="S73" s="12"/>
      <c r="T73" s="16"/>
      <c r="U73" s="12"/>
      <c r="V73" s="12"/>
      <c r="W73" s="16"/>
      <c r="X73" s="12"/>
      <c r="Y73" s="12"/>
      <c r="Z73" s="16"/>
      <c r="AA73" s="12"/>
      <c r="AB73" s="12"/>
      <c r="AC73" s="16"/>
      <c r="AD73" s="12"/>
      <c r="AE73" s="12"/>
      <c r="AF73" s="16"/>
      <c r="AG73" s="12"/>
      <c r="AH73" s="12"/>
      <c r="AI73" s="16"/>
      <c r="AJ73" s="12"/>
      <c r="AK73" s="12"/>
      <c r="AL73" s="16"/>
      <c r="AM73" s="12"/>
      <c r="AN73" s="12"/>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row>
    <row r="74" spans="1:66" x14ac:dyDescent="0.2">
      <c r="L74" s="12"/>
      <c r="M74" s="12"/>
      <c r="N74" s="16"/>
      <c r="O74" s="12"/>
      <c r="P74" s="12"/>
      <c r="Q74" s="16"/>
      <c r="R74" s="12"/>
      <c r="S74" s="12"/>
      <c r="T74" s="16"/>
      <c r="U74" s="12"/>
      <c r="V74" s="12"/>
      <c r="W74" s="16"/>
      <c r="X74" s="12"/>
      <c r="Y74" s="12"/>
      <c r="Z74" s="16"/>
      <c r="AA74" s="12"/>
      <c r="AB74" s="12"/>
      <c r="AC74" s="16"/>
      <c r="AD74" s="12"/>
      <c r="AE74" s="12"/>
      <c r="AF74" s="16"/>
      <c r="AG74" s="12"/>
      <c r="AH74" s="12"/>
      <c r="AI74" s="16"/>
      <c r="AJ74" s="12"/>
      <c r="AK74" s="12"/>
      <c r="AL74" s="16"/>
      <c r="AM74" s="12"/>
      <c r="AN74" s="12"/>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row>
    <row r="75" spans="1:66" x14ac:dyDescent="0.2">
      <c r="L75" s="12"/>
      <c r="M75" s="12"/>
      <c r="N75" s="16"/>
      <c r="O75" s="12"/>
      <c r="P75" s="12"/>
      <c r="Q75" s="16"/>
      <c r="R75" s="12"/>
      <c r="S75" s="12"/>
      <c r="T75" s="16"/>
      <c r="U75" s="12"/>
      <c r="V75" s="12"/>
      <c r="W75" s="16"/>
      <c r="X75" s="12"/>
      <c r="Y75" s="12"/>
      <c r="Z75" s="16"/>
      <c r="AA75" s="12"/>
      <c r="AB75" s="12"/>
      <c r="AC75" s="16"/>
      <c r="AD75" s="12"/>
      <c r="AE75" s="12"/>
      <c r="AF75" s="16"/>
      <c r="AG75" s="12"/>
      <c r="AH75" s="12"/>
      <c r="AI75" s="16"/>
      <c r="AJ75" s="12"/>
      <c r="AK75" s="12"/>
      <c r="AL75" s="16"/>
      <c r="AM75" s="12"/>
      <c r="AN75" s="12"/>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row>
    <row r="76" spans="1:66" x14ac:dyDescent="0.2">
      <c r="L76" s="12"/>
      <c r="M76" s="12"/>
      <c r="N76" s="16"/>
      <c r="O76" s="12"/>
      <c r="P76" s="12"/>
      <c r="Q76" s="16"/>
      <c r="R76" s="12"/>
      <c r="S76" s="12"/>
      <c r="T76" s="16"/>
      <c r="U76" s="12"/>
      <c r="V76" s="12"/>
      <c r="W76" s="16"/>
      <c r="X76" s="12"/>
      <c r="Y76" s="12"/>
      <c r="Z76" s="16"/>
      <c r="AA76" s="12"/>
      <c r="AB76" s="12"/>
      <c r="AC76" s="16"/>
      <c r="AD76" s="12"/>
      <c r="AE76" s="12"/>
      <c r="AF76" s="16"/>
      <c r="AG76" s="12"/>
      <c r="AH76" s="12"/>
      <c r="AI76" s="16"/>
      <c r="AJ76" s="12"/>
      <c r="AK76" s="12"/>
      <c r="AL76" s="16"/>
      <c r="AM76" s="12"/>
      <c r="AN76" s="12"/>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row>
    <row r="77" spans="1:66" x14ac:dyDescent="0.2">
      <c r="L77" s="12"/>
      <c r="M77" s="12"/>
      <c r="N77" s="16"/>
      <c r="O77" s="12"/>
      <c r="P77" s="12"/>
      <c r="Q77" s="16"/>
      <c r="R77" s="12"/>
      <c r="S77" s="12"/>
      <c r="T77" s="16"/>
      <c r="U77" s="12"/>
      <c r="V77" s="12"/>
      <c r="W77" s="16"/>
      <c r="X77" s="12"/>
      <c r="Y77" s="12"/>
      <c r="Z77" s="16"/>
      <c r="AA77" s="12"/>
      <c r="AB77" s="12"/>
      <c r="AC77" s="16"/>
      <c r="AD77" s="12"/>
      <c r="AE77" s="12"/>
      <c r="AF77" s="16"/>
      <c r="AG77" s="12"/>
      <c r="AH77" s="12"/>
      <c r="AI77" s="16"/>
      <c r="AJ77" s="12"/>
      <c r="AK77" s="12"/>
      <c r="AL77" s="16"/>
      <c r="AM77" s="12"/>
      <c r="AN77" s="12"/>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row>
    <row r="78" spans="1:66" x14ac:dyDescent="0.2">
      <c r="L78" s="12"/>
      <c r="M78" s="12"/>
      <c r="N78" s="16"/>
      <c r="O78" s="12"/>
      <c r="P78" s="12"/>
      <c r="Q78" s="16"/>
      <c r="R78" s="12"/>
      <c r="S78" s="12"/>
      <c r="T78" s="16"/>
      <c r="U78" s="12"/>
      <c r="V78" s="12"/>
      <c r="W78" s="16"/>
      <c r="X78" s="12"/>
      <c r="Y78" s="12"/>
      <c r="Z78" s="16"/>
      <c r="AA78" s="12"/>
      <c r="AB78" s="12"/>
      <c r="AC78" s="16"/>
      <c r="AD78" s="12"/>
      <c r="AE78" s="12"/>
      <c r="AF78" s="16"/>
      <c r="AG78" s="12"/>
      <c r="AH78" s="12"/>
      <c r="AI78" s="16"/>
      <c r="AJ78" s="12"/>
      <c r="AK78" s="12"/>
      <c r="AL78" s="16"/>
      <c r="AM78" s="12"/>
      <c r="AN78" s="12"/>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row>
    <row r="79" spans="1:66" x14ac:dyDescent="0.2">
      <c r="L79" s="12"/>
      <c r="M79" s="12"/>
      <c r="N79" s="16"/>
      <c r="O79" s="12"/>
      <c r="P79" s="12"/>
      <c r="Q79" s="16"/>
      <c r="R79" s="12"/>
      <c r="S79" s="12"/>
      <c r="T79" s="16"/>
      <c r="U79" s="12"/>
      <c r="V79" s="12"/>
      <c r="W79" s="16"/>
      <c r="X79" s="12"/>
      <c r="Y79" s="12"/>
      <c r="Z79" s="16"/>
      <c r="AA79" s="12"/>
      <c r="AB79" s="12"/>
      <c r="AC79" s="16"/>
      <c r="AD79" s="12"/>
      <c r="AE79" s="12"/>
      <c r="AF79" s="16"/>
      <c r="AG79" s="12"/>
      <c r="AH79" s="12"/>
      <c r="AI79" s="16"/>
      <c r="AJ79" s="12"/>
      <c r="AK79" s="12"/>
      <c r="AL79" s="16"/>
      <c r="AM79" s="12"/>
      <c r="AN79" s="12"/>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row>
    <row r="80" spans="1:66" x14ac:dyDescent="0.2">
      <c r="L80" s="12"/>
      <c r="M80" s="12"/>
      <c r="N80" s="16"/>
      <c r="O80" s="12"/>
      <c r="P80" s="12"/>
      <c r="Q80" s="16"/>
      <c r="R80" s="12"/>
      <c r="S80" s="12"/>
      <c r="T80" s="16"/>
      <c r="U80" s="12"/>
      <c r="V80" s="12"/>
      <c r="W80" s="16"/>
      <c r="X80" s="12"/>
      <c r="Y80" s="12"/>
      <c r="Z80" s="16"/>
      <c r="AA80" s="12"/>
      <c r="AB80" s="12"/>
      <c r="AC80" s="16"/>
      <c r="AD80" s="12"/>
      <c r="AE80" s="12"/>
      <c r="AF80" s="16"/>
      <c r="AG80" s="12"/>
      <c r="AH80" s="12"/>
      <c r="AI80" s="16"/>
      <c r="AJ80" s="12"/>
      <c r="AK80" s="12"/>
      <c r="AL80" s="16"/>
      <c r="AM80" s="12"/>
      <c r="AN80" s="12"/>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row>
    <row r="81" spans="12:65" x14ac:dyDescent="0.2">
      <c r="L81" s="12"/>
      <c r="M81" s="12"/>
      <c r="N81" s="16"/>
      <c r="O81" s="12"/>
      <c r="P81" s="12"/>
      <c r="Q81" s="16"/>
      <c r="R81" s="12"/>
      <c r="S81" s="12"/>
      <c r="T81" s="16"/>
      <c r="U81" s="12"/>
      <c r="V81" s="12"/>
      <c r="W81" s="16"/>
      <c r="X81" s="12"/>
      <c r="Y81" s="12"/>
      <c r="Z81" s="16"/>
      <c r="AA81" s="12"/>
      <c r="AB81" s="12"/>
      <c r="AC81" s="16"/>
      <c r="AD81" s="12"/>
      <c r="AE81" s="12"/>
      <c r="AF81" s="16"/>
      <c r="AG81" s="12"/>
      <c r="AH81" s="12"/>
      <c r="AI81" s="16"/>
      <c r="AJ81" s="12"/>
      <c r="AK81" s="12"/>
      <c r="AL81" s="16"/>
      <c r="AM81" s="12"/>
      <c r="AN81" s="12"/>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row>
    <row r="82" spans="12:65" x14ac:dyDescent="0.2">
      <c r="L82" s="12"/>
      <c r="M82" s="12"/>
      <c r="N82" s="16"/>
      <c r="O82" s="12"/>
      <c r="P82" s="12"/>
      <c r="Q82" s="16"/>
      <c r="R82" s="12"/>
      <c r="S82" s="12"/>
      <c r="T82" s="16"/>
      <c r="U82" s="12"/>
      <c r="V82" s="12"/>
      <c r="W82" s="16"/>
      <c r="X82" s="12"/>
      <c r="Y82" s="12"/>
      <c r="Z82" s="16"/>
      <c r="AA82" s="12"/>
      <c r="AB82" s="12"/>
      <c r="AC82" s="16"/>
      <c r="AD82" s="12"/>
      <c r="AE82" s="12"/>
      <c r="AF82" s="16"/>
      <c r="AG82" s="12"/>
      <c r="AH82" s="12"/>
      <c r="AI82" s="16"/>
      <c r="AJ82" s="12"/>
      <c r="AK82" s="12"/>
      <c r="AL82" s="16"/>
      <c r="AM82" s="12"/>
      <c r="AN82" s="12"/>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row>
    <row r="83" spans="12:65" x14ac:dyDescent="0.2">
      <c r="L83" s="12"/>
      <c r="M83" s="12"/>
      <c r="N83" s="16"/>
      <c r="O83" s="12"/>
      <c r="P83" s="12"/>
      <c r="Q83" s="16"/>
      <c r="R83" s="12"/>
      <c r="S83" s="12"/>
      <c r="T83" s="16"/>
      <c r="U83" s="12"/>
      <c r="V83" s="12"/>
      <c r="W83" s="16"/>
      <c r="X83" s="12"/>
      <c r="Y83" s="12"/>
      <c r="Z83" s="16"/>
      <c r="AA83" s="12"/>
      <c r="AB83" s="12"/>
      <c r="AC83" s="16"/>
      <c r="AD83" s="12"/>
      <c r="AE83" s="12"/>
      <c r="AF83" s="16"/>
      <c r="AG83" s="12"/>
      <c r="AH83" s="12"/>
      <c r="AI83" s="16"/>
      <c r="AJ83" s="12"/>
      <c r="AK83" s="12"/>
      <c r="AL83" s="16"/>
      <c r="AM83" s="12"/>
      <c r="AN83" s="12"/>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row>
    <row r="84" spans="12:65" x14ac:dyDescent="0.2">
      <c r="L84" s="12"/>
      <c r="M84" s="12"/>
      <c r="N84" s="16"/>
      <c r="O84" s="12"/>
      <c r="P84" s="12"/>
      <c r="Q84" s="16"/>
      <c r="R84" s="12"/>
      <c r="S84" s="12"/>
      <c r="T84" s="16"/>
      <c r="U84" s="12"/>
      <c r="V84" s="12"/>
      <c r="W84" s="16"/>
      <c r="X84" s="12"/>
      <c r="Y84" s="12"/>
      <c r="Z84" s="16"/>
      <c r="AA84" s="12"/>
      <c r="AB84" s="12"/>
      <c r="AC84" s="16"/>
      <c r="AD84" s="12"/>
      <c r="AE84" s="12"/>
      <c r="AF84" s="16"/>
      <c r="AG84" s="12"/>
      <c r="AH84" s="12"/>
      <c r="AI84" s="16"/>
      <c r="AJ84" s="12"/>
      <c r="AK84" s="12"/>
      <c r="AL84" s="16"/>
      <c r="AM84" s="12"/>
      <c r="AN84" s="12"/>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row>
    <row r="85" spans="12:65" x14ac:dyDescent="0.2">
      <c r="L85" s="12"/>
      <c r="M85" s="12"/>
      <c r="N85" s="16"/>
      <c r="O85" s="12"/>
      <c r="P85" s="12"/>
      <c r="Q85" s="16"/>
      <c r="R85" s="12"/>
      <c r="S85" s="12"/>
      <c r="T85" s="16"/>
      <c r="U85" s="12"/>
      <c r="V85" s="12"/>
      <c r="W85" s="16"/>
      <c r="X85" s="12"/>
      <c r="Y85" s="12"/>
      <c r="Z85" s="16"/>
      <c r="AA85" s="12"/>
      <c r="AB85" s="12"/>
      <c r="AC85" s="16"/>
      <c r="AD85" s="12"/>
      <c r="AE85" s="12"/>
      <c r="AF85" s="16"/>
      <c r="AG85" s="12"/>
      <c r="AH85" s="12"/>
      <c r="AI85" s="16"/>
      <c r="AJ85" s="12"/>
      <c r="AK85" s="12"/>
      <c r="AL85" s="16"/>
      <c r="AM85" s="12"/>
      <c r="AN85" s="12"/>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row>
    <row r="86" spans="12:65" x14ac:dyDescent="0.2">
      <c r="L86" s="12"/>
      <c r="M86" s="12"/>
      <c r="N86" s="16"/>
      <c r="O86" s="12"/>
      <c r="P86" s="12"/>
      <c r="Q86" s="16"/>
      <c r="R86" s="12"/>
      <c r="S86" s="12"/>
      <c r="T86" s="16"/>
      <c r="U86" s="12"/>
      <c r="V86" s="12"/>
      <c r="W86" s="16"/>
      <c r="X86" s="12"/>
      <c r="Y86" s="12"/>
      <c r="Z86" s="16"/>
      <c r="AA86" s="12"/>
      <c r="AB86" s="12"/>
      <c r="AC86" s="16"/>
      <c r="AD86" s="12"/>
      <c r="AE86" s="12"/>
      <c r="AF86" s="16"/>
      <c r="AG86" s="12"/>
      <c r="AH86" s="12"/>
      <c r="AI86" s="16"/>
      <c r="AJ86" s="12"/>
      <c r="AK86" s="12"/>
      <c r="AL86" s="16"/>
      <c r="AM86" s="12"/>
      <c r="AN86" s="12"/>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row>
    <row r="87" spans="12:65" x14ac:dyDescent="0.2">
      <c r="L87" s="12"/>
      <c r="M87" s="12"/>
      <c r="N87" s="16"/>
      <c r="O87" s="12"/>
      <c r="P87" s="12"/>
      <c r="Q87" s="16"/>
      <c r="R87" s="12"/>
      <c r="S87" s="12"/>
      <c r="T87" s="16"/>
      <c r="U87" s="12"/>
      <c r="V87" s="12"/>
      <c r="W87" s="16"/>
      <c r="X87" s="12"/>
      <c r="Y87" s="12"/>
      <c r="Z87" s="16"/>
      <c r="AA87" s="12"/>
      <c r="AB87" s="12"/>
      <c r="AC87" s="16"/>
      <c r="AD87" s="12"/>
      <c r="AE87" s="12"/>
      <c r="AF87" s="16"/>
      <c r="AG87" s="12"/>
      <c r="AH87" s="12"/>
      <c r="AI87" s="16"/>
      <c r="AJ87" s="12"/>
      <c r="AK87" s="12"/>
      <c r="AL87" s="16"/>
      <c r="AM87" s="12"/>
      <c r="AN87" s="12"/>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row>
    <row r="88" spans="12:65" x14ac:dyDescent="0.2">
      <c r="L88" s="12"/>
      <c r="M88" s="12"/>
      <c r="N88" s="16"/>
      <c r="O88" s="12"/>
      <c r="P88" s="12"/>
      <c r="Q88" s="16"/>
      <c r="R88" s="12"/>
      <c r="S88" s="12"/>
      <c r="T88" s="16"/>
      <c r="U88" s="12"/>
      <c r="V88" s="12"/>
      <c r="W88" s="16"/>
      <c r="X88" s="12"/>
      <c r="Y88" s="12"/>
      <c r="Z88" s="16"/>
      <c r="AA88" s="12"/>
      <c r="AB88" s="12"/>
      <c r="AC88" s="16"/>
      <c r="AD88" s="12"/>
      <c r="AE88" s="12"/>
      <c r="AF88" s="16"/>
      <c r="AG88" s="12"/>
      <c r="AH88" s="12"/>
      <c r="AI88" s="16"/>
      <c r="AJ88" s="12"/>
      <c r="AK88" s="12"/>
      <c r="AL88" s="16"/>
      <c r="AM88" s="12"/>
      <c r="AN88" s="12"/>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row>
    <row r="89" spans="12:65" x14ac:dyDescent="0.2">
      <c r="L89" s="12"/>
      <c r="M89" s="12"/>
      <c r="N89" s="16"/>
      <c r="O89" s="12"/>
      <c r="P89" s="12"/>
      <c r="Q89" s="16"/>
      <c r="R89" s="12"/>
      <c r="S89" s="12"/>
      <c r="T89" s="16"/>
      <c r="U89" s="12"/>
      <c r="V89" s="12"/>
      <c r="W89" s="16"/>
      <c r="X89" s="12"/>
      <c r="Y89" s="12"/>
      <c r="Z89" s="16"/>
      <c r="AA89" s="12"/>
      <c r="AB89" s="12"/>
      <c r="AC89" s="16"/>
      <c r="AD89" s="12"/>
      <c r="AE89" s="12"/>
      <c r="AF89" s="16"/>
      <c r="AG89" s="12"/>
      <c r="AH89" s="12"/>
      <c r="AI89" s="16"/>
      <c r="AJ89" s="12"/>
      <c r="AK89" s="12"/>
      <c r="AL89" s="16"/>
      <c r="AM89" s="12"/>
      <c r="AN89" s="12"/>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row>
    <row r="90" spans="12:65" x14ac:dyDescent="0.2">
      <c r="L90" s="12"/>
      <c r="M90" s="12"/>
      <c r="N90" s="16"/>
      <c r="O90" s="12"/>
      <c r="P90" s="12"/>
      <c r="Q90" s="16"/>
      <c r="R90" s="12"/>
      <c r="S90" s="12"/>
      <c r="T90" s="16"/>
      <c r="U90" s="12"/>
      <c r="V90" s="12"/>
      <c r="W90" s="16"/>
      <c r="X90" s="12"/>
      <c r="Y90" s="12"/>
      <c r="Z90" s="16"/>
      <c r="AA90" s="12"/>
      <c r="AB90" s="12"/>
      <c r="AC90" s="16"/>
      <c r="AD90" s="12"/>
      <c r="AE90" s="12"/>
      <c r="AF90" s="16"/>
      <c r="AG90" s="12"/>
      <c r="AH90" s="12"/>
      <c r="AI90" s="16"/>
      <c r="AJ90" s="12"/>
      <c r="AK90" s="12"/>
      <c r="AL90" s="16"/>
      <c r="AM90" s="12"/>
      <c r="AN90" s="12"/>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row>
    <row r="91" spans="12:65" x14ac:dyDescent="0.2">
      <c r="L91" s="12"/>
      <c r="M91" s="12"/>
      <c r="N91" s="16"/>
      <c r="O91" s="12"/>
      <c r="P91" s="12"/>
      <c r="Q91" s="16"/>
      <c r="R91" s="12"/>
      <c r="S91" s="12"/>
      <c r="T91" s="16"/>
      <c r="U91" s="12"/>
      <c r="V91" s="12"/>
      <c r="W91" s="16"/>
      <c r="X91" s="12"/>
      <c r="Y91" s="12"/>
      <c r="Z91" s="16"/>
      <c r="AA91" s="12"/>
      <c r="AB91" s="12"/>
      <c r="AC91" s="16"/>
      <c r="AD91" s="12"/>
      <c r="AE91" s="12"/>
      <c r="AF91" s="16"/>
      <c r="AG91" s="12"/>
      <c r="AH91" s="12"/>
      <c r="AI91" s="16"/>
      <c r="AJ91" s="12"/>
      <c r="AK91" s="12"/>
      <c r="AL91" s="16"/>
      <c r="AM91" s="12"/>
      <c r="AN91" s="12"/>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row>
    <row r="92" spans="12:65" x14ac:dyDescent="0.2">
      <c r="L92" s="12"/>
      <c r="M92" s="12"/>
      <c r="N92" s="16"/>
      <c r="O92" s="12"/>
      <c r="P92" s="12"/>
      <c r="Q92" s="16"/>
      <c r="R92" s="12"/>
      <c r="S92" s="12"/>
      <c r="T92" s="16"/>
      <c r="U92" s="12"/>
      <c r="V92" s="12"/>
      <c r="W92" s="16"/>
      <c r="X92" s="12"/>
      <c r="Y92" s="12"/>
      <c r="Z92" s="16"/>
      <c r="AA92" s="12"/>
      <c r="AB92" s="12"/>
      <c r="AC92" s="16"/>
      <c r="AD92" s="12"/>
      <c r="AE92" s="12"/>
      <c r="AF92" s="16"/>
      <c r="AG92" s="12"/>
      <c r="AH92" s="12"/>
      <c r="AI92" s="16"/>
      <c r="AJ92" s="12"/>
      <c r="AK92" s="12"/>
      <c r="AL92" s="16"/>
      <c r="AM92" s="12"/>
      <c r="AN92" s="12"/>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row>
    <row r="93" spans="12:65" x14ac:dyDescent="0.2">
      <c r="L93" s="12"/>
      <c r="M93" s="12"/>
      <c r="N93" s="16"/>
      <c r="O93" s="12"/>
      <c r="P93" s="12"/>
      <c r="Q93" s="16"/>
      <c r="R93" s="12"/>
      <c r="S93" s="12"/>
      <c r="T93" s="16"/>
      <c r="U93" s="12"/>
      <c r="V93" s="12"/>
      <c r="W93" s="16"/>
      <c r="X93" s="12"/>
      <c r="Y93" s="12"/>
      <c r="Z93" s="16"/>
      <c r="AA93" s="12"/>
      <c r="AB93" s="12"/>
      <c r="AC93" s="16"/>
      <c r="AD93" s="12"/>
      <c r="AE93" s="12"/>
      <c r="AF93" s="16"/>
      <c r="AG93" s="12"/>
      <c r="AH93" s="12"/>
      <c r="AI93" s="16"/>
      <c r="AJ93" s="12"/>
      <c r="AK93" s="12"/>
      <c r="AL93" s="16"/>
      <c r="AM93" s="12"/>
      <c r="AN93" s="12"/>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row>
    <row r="94" spans="12:65" x14ac:dyDescent="0.2">
      <c r="L94" s="12"/>
      <c r="M94" s="12"/>
      <c r="N94" s="16"/>
      <c r="O94" s="12"/>
      <c r="P94" s="12"/>
      <c r="Q94" s="16"/>
      <c r="R94" s="12"/>
      <c r="S94" s="12"/>
      <c r="T94" s="16"/>
      <c r="U94" s="12"/>
      <c r="V94" s="12"/>
      <c r="W94" s="16"/>
      <c r="X94" s="12"/>
      <c r="Y94" s="12"/>
      <c r="Z94" s="16"/>
      <c r="AA94" s="12"/>
      <c r="AB94" s="12"/>
      <c r="AC94" s="16"/>
      <c r="AD94" s="12"/>
      <c r="AE94" s="12"/>
      <c r="AF94" s="16"/>
      <c r="AG94" s="12"/>
      <c r="AH94" s="12"/>
      <c r="AI94" s="16"/>
      <c r="AJ94" s="12"/>
      <c r="AK94" s="12"/>
      <c r="AL94" s="16"/>
      <c r="AM94" s="12"/>
      <c r="AN94" s="12"/>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row>
    <row r="95" spans="12:65" x14ac:dyDescent="0.2">
      <c r="L95" s="12"/>
      <c r="M95" s="12"/>
      <c r="N95" s="16"/>
      <c r="O95" s="12"/>
      <c r="P95" s="12"/>
      <c r="Q95" s="16"/>
      <c r="R95" s="12"/>
      <c r="S95" s="12"/>
      <c r="T95" s="16"/>
      <c r="U95" s="12"/>
      <c r="V95" s="12"/>
      <c r="W95" s="16"/>
      <c r="X95" s="12"/>
      <c r="Y95" s="12"/>
      <c r="Z95" s="16"/>
      <c r="AA95" s="12"/>
      <c r="AB95" s="12"/>
      <c r="AC95" s="16"/>
      <c r="AD95" s="12"/>
      <c r="AE95" s="12"/>
      <c r="AF95" s="16"/>
      <c r="AG95" s="12"/>
      <c r="AH95" s="12"/>
      <c r="AI95" s="16"/>
      <c r="AJ95" s="12"/>
      <c r="AK95" s="12"/>
      <c r="AL95" s="16"/>
      <c r="AM95" s="12"/>
      <c r="AN95" s="12"/>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row>
    <row r="96" spans="12:65" x14ac:dyDescent="0.2">
      <c r="L96" s="12"/>
      <c r="M96" s="12"/>
      <c r="N96" s="16"/>
      <c r="O96" s="12"/>
      <c r="P96" s="12"/>
      <c r="Q96" s="16"/>
      <c r="R96" s="12"/>
      <c r="S96" s="12"/>
      <c r="T96" s="16"/>
      <c r="U96" s="12"/>
      <c r="V96" s="12"/>
      <c r="W96" s="16"/>
      <c r="X96" s="12"/>
      <c r="Y96" s="12"/>
      <c r="Z96" s="16"/>
      <c r="AA96" s="12"/>
      <c r="AB96" s="12"/>
      <c r="AC96" s="16"/>
      <c r="AD96" s="12"/>
      <c r="AE96" s="12"/>
      <c r="AF96" s="16"/>
      <c r="AG96" s="12"/>
      <c r="AH96" s="12"/>
      <c r="AI96" s="16"/>
      <c r="AJ96" s="12"/>
      <c r="AK96" s="12"/>
      <c r="AL96" s="16"/>
      <c r="AM96" s="12"/>
      <c r="AN96" s="12"/>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row>
    <row r="97" spans="12:65" x14ac:dyDescent="0.2">
      <c r="L97" s="12"/>
      <c r="M97" s="12"/>
      <c r="N97" s="16"/>
      <c r="O97" s="12"/>
      <c r="P97" s="12"/>
      <c r="Q97" s="16"/>
      <c r="R97" s="12"/>
      <c r="S97" s="12"/>
      <c r="T97" s="16"/>
      <c r="U97" s="12"/>
      <c r="V97" s="12"/>
      <c r="W97" s="16"/>
      <c r="X97" s="12"/>
      <c r="Y97" s="12"/>
      <c r="Z97" s="16"/>
      <c r="AA97" s="12"/>
      <c r="AB97" s="12"/>
      <c r="AC97" s="16"/>
      <c r="AD97" s="12"/>
      <c r="AE97" s="12"/>
      <c r="AF97" s="16"/>
      <c r="AG97" s="12"/>
      <c r="AH97" s="12"/>
      <c r="AI97" s="16"/>
      <c r="AJ97" s="12"/>
      <c r="AK97" s="12"/>
      <c r="AL97" s="16"/>
      <c r="AM97" s="12"/>
      <c r="AN97" s="12"/>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row>
    <row r="98" spans="12:65" x14ac:dyDescent="0.2">
      <c r="L98" s="12"/>
      <c r="M98" s="12"/>
      <c r="N98" s="16"/>
      <c r="O98" s="12"/>
      <c r="P98" s="12"/>
      <c r="Q98" s="16"/>
      <c r="R98" s="12"/>
      <c r="S98" s="12"/>
      <c r="T98" s="16"/>
      <c r="U98" s="12"/>
      <c r="V98" s="12"/>
      <c r="W98" s="16"/>
      <c r="X98" s="12"/>
      <c r="Y98" s="12"/>
      <c r="Z98" s="16"/>
      <c r="AA98" s="12"/>
      <c r="AB98" s="12"/>
      <c r="AC98" s="16"/>
      <c r="AD98" s="12"/>
      <c r="AE98" s="12"/>
      <c r="AF98" s="16"/>
      <c r="AG98" s="12"/>
      <c r="AH98" s="12"/>
      <c r="AI98" s="16"/>
      <c r="AJ98" s="12"/>
      <c r="AK98" s="12"/>
      <c r="AL98" s="16"/>
      <c r="AM98" s="12"/>
      <c r="AN98" s="12"/>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row>
    <row r="99" spans="12:65" x14ac:dyDescent="0.2">
      <c r="L99" s="12"/>
      <c r="M99" s="12"/>
      <c r="N99" s="16"/>
      <c r="O99" s="12"/>
      <c r="P99" s="12"/>
      <c r="Q99" s="16"/>
      <c r="R99" s="12"/>
      <c r="S99" s="12"/>
      <c r="T99" s="16"/>
      <c r="U99" s="12"/>
      <c r="V99" s="12"/>
      <c r="W99" s="16"/>
      <c r="X99" s="12"/>
      <c r="Y99" s="12"/>
      <c r="Z99" s="16"/>
      <c r="AA99" s="12"/>
      <c r="AB99" s="12"/>
      <c r="AC99" s="16"/>
      <c r="AD99" s="12"/>
      <c r="AE99" s="12"/>
      <c r="AF99" s="16"/>
      <c r="AG99" s="12"/>
      <c r="AH99" s="12"/>
      <c r="AI99" s="16"/>
      <c r="AJ99" s="12"/>
      <c r="AK99" s="12"/>
      <c r="AL99" s="16"/>
      <c r="AM99" s="12"/>
      <c r="AN99" s="12"/>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row>
    <row r="100" spans="12:65" x14ac:dyDescent="0.2">
      <c r="L100" s="12"/>
      <c r="M100" s="12"/>
      <c r="N100" s="16"/>
      <c r="O100" s="12"/>
      <c r="P100" s="12"/>
      <c r="Q100" s="16"/>
      <c r="R100" s="12"/>
      <c r="S100" s="12"/>
      <c r="T100" s="16"/>
      <c r="U100" s="12"/>
      <c r="V100" s="12"/>
      <c r="W100" s="16"/>
      <c r="X100" s="12"/>
      <c r="Y100" s="12"/>
      <c r="Z100" s="16"/>
      <c r="AA100" s="12"/>
      <c r="AB100" s="12"/>
      <c r="AC100" s="16"/>
      <c r="AD100" s="12"/>
      <c r="AE100" s="12"/>
      <c r="AF100" s="16"/>
      <c r="AG100" s="12"/>
      <c r="AH100" s="12"/>
      <c r="AI100" s="16"/>
      <c r="AJ100" s="12"/>
      <c r="AK100" s="12"/>
      <c r="AL100" s="16"/>
      <c r="AM100" s="12"/>
      <c r="AN100" s="12"/>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row>
    <row r="101" spans="12:65" x14ac:dyDescent="0.2">
      <c r="L101" s="12"/>
      <c r="M101" s="12"/>
      <c r="N101" s="16"/>
      <c r="O101" s="12"/>
      <c r="P101" s="12"/>
      <c r="Q101" s="16"/>
      <c r="R101" s="12"/>
      <c r="S101" s="12"/>
      <c r="T101" s="16"/>
      <c r="U101" s="12"/>
      <c r="V101" s="12"/>
      <c r="W101" s="16"/>
      <c r="X101" s="12"/>
      <c r="Y101" s="12"/>
      <c r="Z101" s="16"/>
      <c r="AA101" s="12"/>
      <c r="AB101" s="12"/>
      <c r="AC101" s="16"/>
      <c r="AD101" s="12"/>
      <c r="AE101" s="12"/>
      <c r="AF101" s="16"/>
      <c r="AG101" s="12"/>
      <c r="AH101" s="12"/>
      <c r="AI101" s="16"/>
      <c r="AJ101" s="12"/>
      <c r="AK101" s="12"/>
      <c r="AL101" s="16"/>
      <c r="AM101" s="12"/>
      <c r="AN101" s="12"/>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row>
    <row r="102" spans="12:65" x14ac:dyDescent="0.2">
      <c r="L102" s="12"/>
      <c r="M102" s="12"/>
      <c r="N102" s="16"/>
      <c r="O102" s="12"/>
      <c r="P102" s="12"/>
      <c r="Q102" s="16"/>
      <c r="R102" s="12"/>
      <c r="S102" s="12"/>
      <c r="T102" s="16"/>
      <c r="U102" s="12"/>
      <c r="V102" s="12"/>
      <c r="W102" s="16"/>
      <c r="X102" s="12"/>
      <c r="Y102" s="12"/>
      <c r="Z102" s="16"/>
      <c r="AA102" s="12"/>
      <c r="AB102" s="12"/>
      <c r="AC102" s="16"/>
      <c r="AD102" s="12"/>
      <c r="AE102" s="12"/>
      <c r="AF102" s="16"/>
      <c r="AG102" s="12"/>
      <c r="AH102" s="12"/>
      <c r="AI102" s="16"/>
      <c r="AJ102" s="12"/>
      <c r="AK102" s="12"/>
      <c r="AL102" s="16"/>
      <c r="AM102" s="12"/>
      <c r="AN102" s="12"/>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row>
    <row r="103" spans="12:65" x14ac:dyDescent="0.2">
      <c r="L103" s="12"/>
      <c r="M103" s="12"/>
      <c r="N103" s="16"/>
      <c r="O103" s="12"/>
      <c r="P103" s="12"/>
      <c r="Q103" s="16"/>
      <c r="R103" s="12"/>
      <c r="S103" s="12"/>
      <c r="T103" s="16"/>
      <c r="U103" s="12"/>
      <c r="V103" s="12"/>
      <c r="W103" s="16"/>
      <c r="X103" s="12"/>
      <c r="Y103" s="12"/>
      <c r="Z103" s="16"/>
      <c r="AA103" s="12"/>
      <c r="AB103" s="12"/>
      <c r="AC103" s="16"/>
      <c r="AD103" s="12"/>
      <c r="AE103" s="12"/>
      <c r="AF103" s="16"/>
      <c r="AG103" s="12"/>
      <c r="AH103" s="12"/>
      <c r="AI103" s="16"/>
      <c r="AJ103" s="12"/>
      <c r="AK103" s="12"/>
      <c r="AL103" s="16"/>
      <c r="AM103" s="12"/>
      <c r="AN103" s="12"/>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row>
    <row r="104" spans="12:65" x14ac:dyDescent="0.2">
      <c r="L104" s="12"/>
      <c r="M104" s="12"/>
      <c r="N104" s="16"/>
      <c r="O104" s="12"/>
      <c r="P104" s="12"/>
      <c r="Q104" s="16"/>
      <c r="R104" s="12"/>
      <c r="S104" s="12"/>
      <c r="T104" s="16"/>
      <c r="U104" s="12"/>
      <c r="V104" s="12"/>
      <c r="W104" s="16"/>
      <c r="X104" s="12"/>
      <c r="Y104" s="12"/>
      <c r="Z104" s="16"/>
      <c r="AA104" s="12"/>
      <c r="AB104" s="12"/>
      <c r="AC104" s="16"/>
      <c r="AD104" s="12"/>
      <c r="AE104" s="12"/>
      <c r="AF104" s="16"/>
      <c r="AG104" s="12"/>
      <c r="AH104" s="12"/>
      <c r="AI104" s="16"/>
      <c r="AJ104" s="12"/>
      <c r="AK104" s="12"/>
      <c r="AL104" s="16"/>
      <c r="AM104" s="12"/>
      <c r="AN104" s="12"/>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row>
    <row r="105" spans="12:65" x14ac:dyDescent="0.2">
      <c r="L105" s="12"/>
      <c r="M105" s="12"/>
      <c r="N105" s="16"/>
      <c r="O105" s="12"/>
      <c r="P105" s="12"/>
      <c r="Q105" s="16"/>
      <c r="R105" s="12"/>
      <c r="S105" s="12"/>
      <c r="T105" s="16"/>
      <c r="U105" s="12"/>
      <c r="V105" s="12"/>
      <c r="W105" s="16"/>
      <c r="X105" s="12"/>
      <c r="Y105" s="12"/>
      <c r="Z105" s="16"/>
      <c r="AA105" s="12"/>
      <c r="AB105" s="12"/>
      <c r="AC105" s="16"/>
      <c r="AD105" s="12"/>
      <c r="AE105" s="12"/>
      <c r="AF105" s="16"/>
      <c r="AG105" s="12"/>
      <c r="AH105" s="12"/>
      <c r="AI105" s="16"/>
      <c r="AJ105" s="12"/>
      <c r="AK105" s="12"/>
      <c r="AL105" s="16"/>
      <c r="AM105" s="12"/>
      <c r="AN105" s="12"/>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row>
    <row r="106" spans="12:65" x14ac:dyDescent="0.2">
      <c r="L106" s="12"/>
      <c r="M106" s="12"/>
      <c r="N106" s="16"/>
      <c r="O106" s="12"/>
      <c r="P106" s="12"/>
      <c r="Q106" s="16"/>
      <c r="R106" s="12"/>
      <c r="S106" s="12"/>
      <c r="T106" s="16"/>
      <c r="U106" s="12"/>
      <c r="V106" s="12"/>
      <c r="W106" s="16"/>
      <c r="X106" s="12"/>
      <c r="Y106" s="12"/>
      <c r="Z106" s="16"/>
      <c r="AA106" s="12"/>
      <c r="AB106" s="12"/>
      <c r="AC106" s="16"/>
      <c r="AD106" s="12"/>
      <c r="AE106" s="12"/>
      <c r="AF106" s="16"/>
      <c r="AG106" s="12"/>
      <c r="AH106" s="12"/>
      <c r="AI106" s="16"/>
      <c r="AJ106" s="12"/>
      <c r="AK106" s="12"/>
      <c r="AL106" s="16"/>
      <c r="AM106" s="12"/>
      <c r="AN106" s="12"/>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row>
    <row r="107" spans="12:65" x14ac:dyDescent="0.2">
      <c r="L107" s="12"/>
      <c r="M107" s="12"/>
      <c r="N107" s="16"/>
      <c r="O107" s="12"/>
      <c r="P107" s="12"/>
      <c r="Q107" s="16"/>
      <c r="R107" s="12"/>
      <c r="S107" s="12"/>
      <c r="T107" s="16"/>
      <c r="U107" s="12"/>
      <c r="V107" s="12"/>
      <c r="W107" s="16"/>
      <c r="X107" s="12"/>
      <c r="Y107" s="12"/>
      <c r="Z107" s="16"/>
      <c r="AA107" s="12"/>
      <c r="AB107" s="12"/>
      <c r="AC107" s="16"/>
      <c r="AD107" s="12"/>
      <c r="AE107" s="12"/>
      <c r="AF107" s="16"/>
      <c r="AG107" s="12"/>
      <c r="AH107" s="12"/>
      <c r="AI107" s="16"/>
      <c r="AJ107" s="12"/>
      <c r="AK107" s="12"/>
      <c r="AL107" s="16"/>
      <c r="AM107" s="12"/>
      <c r="AN107" s="12"/>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row>
    <row r="108" spans="12:65" x14ac:dyDescent="0.2">
      <c r="L108" s="12"/>
      <c r="M108" s="12"/>
      <c r="N108" s="16"/>
      <c r="O108" s="12"/>
      <c r="P108" s="12"/>
      <c r="Q108" s="16"/>
      <c r="R108" s="12"/>
      <c r="S108" s="12"/>
      <c r="T108" s="16"/>
      <c r="U108" s="12"/>
      <c r="V108" s="12"/>
      <c r="W108" s="16"/>
      <c r="X108" s="12"/>
      <c r="Y108" s="12"/>
      <c r="Z108" s="16"/>
      <c r="AA108" s="12"/>
      <c r="AB108" s="12"/>
      <c r="AC108" s="16"/>
      <c r="AD108" s="12"/>
      <c r="AE108" s="12"/>
      <c r="AF108" s="16"/>
      <c r="AG108" s="12"/>
      <c r="AH108" s="12"/>
      <c r="AI108" s="16"/>
      <c r="AJ108" s="12"/>
      <c r="AK108" s="12"/>
      <c r="AL108" s="16"/>
      <c r="AM108" s="12"/>
      <c r="AN108" s="12"/>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row>
    <row r="109" spans="12:65" x14ac:dyDescent="0.2">
      <c r="L109" s="12"/>
      <c r="M109" s="12"/>
      <c r="N109" s="16"/>
      <c r="O109" s="12"/>
      <c r="P109" s="12"/>
      <c r="Q109" s="16"/>
      <c r="R109" s="12"/>
      <c r="S109" s="12"/>
      <c r="T109" s="16"/>
      <c r="U109" s="12"/>
      <c r="V109" s="12"/>
      <c r="W109" s="16"/>
      <c r="X109" s="12"/>
      <c r="Y109" s="12"/>
      <c r="Z109" s="16"/>
      <c r="AA109" s="12"/>
      <c r="AB109" s="12"/>
      <c r="AC109" s="16"/>
      <c r="AD109" s="12"/>
      <c r="AE109" s="12"/>
      <c r="AF109" s="16"/>
      <c r="AG109" s="12"/>
      <c r="AH109" s="12"/>
      <c r="AI109" s="16"/>
      <c r="AJ109" s="12"/>
      <c r="AK109" s="12"/>
      <c r="AL109" s="16"/>
      <c r="AM109" s="12"/>
      <c r="AN109" s="12"/>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row>
    <row r="110" spans="12:65" x14ac:dyDescent="0.2">
      <c r="L110" s="12"/>
      <c r="M110" s="12"/>
      <c r="N110" s="16"/>
      <c r="O110" s="12"/>
      <c r="P110" s="12"/>
      <c r="Q110" s="16"/>
      <c r="R110" s="12"/>
      <c r="S110" s="12"/>
      <c r="T110" s="16"/>
      <c r="U110" s="12"/>
      <c r="V110" s="12"/>
      <c r="W110" s="16"/>
      <c r="X110" s="12"/>
      <c r="Y110" s="12"/>
      <c r="Z110" s="16"/>
      <c r="AA110" s="12"/>
      <c r="AB110" s="12"/>
      <c r="AC110" s="16"/>
      <c r="AD110" s="12"/>
      <c r="AE110" s="12"/>
      <c r="AF110" s="16"/>
      <c r="AG110" s="12"/>
      <c r="AH110" s="12"/>
      <c r="AI110" s="16"/>
      <c r="AJ110" s="12"/>
      <c r="AK110" s="12"/>
      <c r="AL110" s="16"/>
      <c r="AM110" s="12"/>
      <c r="AN110" s="12"/>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row>
    <row r="111" spans="12:65" x14ac:dyDescent="0.2">
      <c r="L111" s="12"/>
      <c r="M111" s="12"/>
      <c r="N111" s="16"/>
      <c r="O111" s="12"/>
      <c r="P111" s="12"/>
      <c r="Q111" s="16"/>
      <c r="R111" s="12"/>
      <c r="S111" s="12"/>
      <c r="T111" s="16"/>
      <c r="U111" s="12"/>
      <c r="V111" s="12"/>
      <c r="W111" s="16"/>
      <c r="X111" s="12"/>
      <c r="Y111" s="12"/>
      <c r="Z111" s="16"/>
      <c r="AA111" s="12"/>
      <c r="AB111" s="12"/>
      <c r="AC111" s="16"/>
      <c r="AD111" s="12"/>
      <c r="AE111" s="12"/>
      <c r="AF111" s="16"/>
      <c r="AG111" s="12"/>
      <c r="AH111" s="12"/>
      <c r="AI111" s="16"/>
      <c r="AJ111" s="12"/>
      <c r="AK111" s="12"/>
      <c r="AL111" s="16"/>
      <c r="AM111" s="12"/>
      <c r="AN111" s="12"/>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row>
    <row r="112" spans="12:65" x14ac:dyDescent="0.2">
      <c r="L112" s="12"/>
      <c r="M112" s="12"/>
      <c r="N112" s="16"/>
      <c r="O112" s="12"/>
      <c r="P112" s="12"/>
      <c r="Q112" s="16"/>
      <c r="R112" s="12"/>
      <c r="S112" s="12"/>
      <c r="T112" s="16"/>
      <c r="U112" s="12"/>
      <c r="V112" s="12"/>
      <c r="W112" s="16"/>
      <c r="X112" s="12"/>
      <c r="Y112" s="12"/>
      <c r="Z112" s="16"/>
      <c r="AA112" s="12"/>
      <c r="AB112" s="12"/>
      <c r="AC112" s="16"/>
      <c r="AD112" s="12"/>
      <c r="AE112" s="12"/>
      <c r="AF112" s="16"/>
      <c r="AG112" s="12"/>
      <c r="AH112" s="12"/>
      <c r="AI112" s="16"/>
      <c r="AJ112" s="12"/>
      <c r="AK112" s="12"/>
      <c r="AL112" s="16"/>
      <c r="AM112" s="12"/>
      <c r="AN112" s="12"/>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row>
    <row r="113" spans="12:65" x14ac:dyDescent="0.2">
      <c r="L113" s="12"/>
      <c r="M113" s="12"/>
      <c r="N113" s="16"/>
      <c r="O113" s="12"/>
      <c r="P113" s="12"/>
      <c r="Q113" s="16"/>
      <c r="R113" s="12"/>
      <c r="S113" s="12"/>
      <c r="T113" s="16"/>
      <c r="U113" s="12"/>
      <c r="V113" s="12"/>
      <c r="W113" s="16"/>
      <c r="X113" s="12"/>
      <c r="Y113" s="12"/>
      <c r="Z113" s="16"/>
      <c r="AA113" s="12"/>
      <c r="AB113" s="12"/>
      <c r="AC113" s="16"/>
      <c r="AD113" s="12"/>
      <c r="AE113" s="12"/>
      <c r="AF113" s="16"/>
      <c r="AG113" s="12"/>
      <c r="AH113" s="12"/>
      <c r="AI113" s="16"/>
      <c r="AJ113" s="12"/>
      <c r="AK113" s="12"/>
      <c r="AL113" s="16"/>
      <c r="AM113" s="12"/>
      <c r="AN113" s="12"/>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row>
    <row r="114" spans="12:65" x14ac:dyDescent="0.2">
      <c r="L114" s="12"/>
      <c r="M114" s="12"/>
      <c r="N114" s="16"/>
      <c r="O114" s="12"/>
      <c r="P114" s="12"/>
      <c r="Q114" s="16"/>
      <c r="R114" s="12"/>
      <c r="S114" s="12"/>
      <c r="T114" s="16"/>
      <c r="U114" s="12"/>
      <c r="V114" s="12"/>
      <c r="W114" s="16"/>
      <c r="X114" s="12"/>
      <c r="Y114" s="12"/>
      <c r="Z114" s="16"/>
      <c r="AA114" s="12"/>
      <c r="AB114" s="12"/>
      <c r="AC114" s="16"/>
      <c r="AD114" s="12"/>
      <c r="AE114" s="12"/>
      <c r="AF114" s="16"/>
      <c r="AG114" s="12"/>
      <c r="AH114" s="12"/>
      <c r="AI114" s="16"/>
      <c r="AJ114" s="12"/>
      <c r="AK114" s="12"/>
      <c r="AL114" s="16"/>
      <c r="AM114" s="12"/>
      <c r="AN114" s="12"/>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row>
    <row r="115" spans="12:65" x14ac:dyDescent="0.2">
      <c r="L115" s="12"/>
      <c r="M115" s="12"/>
      <c r="N115" s="16"/>
      <c r="O115" s="12"/>
      <c r="P115" s="12"/>
      <c r="Q115" s="16"/>
      <c r="R115" s="12"/>
      <c r="S115" s="12"/>
      <c r="T115" s="16"/>
      <c r="U115" s="12"/>
      <c r="V115" s="12"/>
      <c r="W115" s="16"/>
      <c r="X115" s="12"/>
      <c r="Y115" s="12"/>
      <c r="Z115" s="16"/>
      <c r="AA115" s="12"/>
      <c r="AB115" s="12"/>
      <c r="AC115" s="16"/>
      <c r="AD115" s="12"/>
      <c r="AE115" s="12"/>
      <c r="AF115" s="16"/>
      <c r="AG115" s="12"/>
      <c r="AH115" s="12"/>
      <c r="AI115" s="16"/>
      <c r="AJ115" s="12"/>
      <c r="AK115" s="12"/>
      <c r="AL115" s="16"/>
      <c r="AM115" s="12"/>
      <c r="AN115" s="12"/>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row>
    <row r="116" spans="12:65" x14ac:dyDescent="0.2">
      <c r="L116" s="12"/>
      <c r="M116" s="12"/>
      <c r="N116" s="16"/>
      <c r="O116" s="12"/>
      <c r="P116" s="12"/>
      <c r="Q116" s="16"/>
      <c r="R116" s="12"/>
      <c r="S116" s="12"/>
      <c r="T116" s="16"/>
      <c r="U116" s="12"/>
      <c r="V116" s="12"/>
      <c r="W116" s="16"/>
      <c r="X116" s="12"/>
      <c r="Y116" s="12"/>
      <c r="Z116" s="16"/>
      <c r="AA116" s="12"/>
      <c r="AB116" s="12"/>
      <c r="AC116" s="16"/>
      <c r="AD116" s="12"/>
      <c r="AE116" s="12"/>
      <c r="AF116" s="16"/>
      <c r="AG116" s="12"/>
      <c r="AH116" s="12"/>
      <c r="AI116" s="16"/>
      <c r="AJ116" s="12"/>
      <c r="AK116" s="12"/>
      <c r="AL116" s="16"/>
      <c r="AM116" s="12"/>
      <c r="AN116" s="12"/>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row>
    <row r="117" spans="12:65" x14ac:dyDescent="0.2">
      <c r="L117" s="12"/>
      <c r="M117" s="12"/>
      <c r="N117" s="16"/>
      <c r="O117" s="12"/>
      <c r="P117" s="12"/>
      <c r="Q117" s="16"/>
      <c r="R117" s="12"/>
      <c r="S117" s="12"/>
      <c r="T117" s="16"/>
      <c r="U117" s="12"/>
      <c r="V117" s="12"/>
      <c r="W117" s="16"/>
      <c r="X117" s="12"/>
      <c r="Y117" s="12"/>
      <c r="Z117" s="16"/>
      <c r="AA117" s="12"/>
      <c r="AB117" s="12"/>
      <c r="AC117" s="16"/>
      <c r="AD117" s="12"/>
      <c r="AE117" s="12"/>
      <c r="AF117" s="16"/>
      <c r="AG117" s="12"/>
      <c r="AH117" s="12"/>
      <c r="AI117" s="16"/>
      <c r="AJ117" s="12"/>
      <c r="AK117" s="12"/>
      <c r="AL117" s="16"/>
      <c r="AM117" s="12"/>
      <c r="AN117" s="12"/>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row>
    <row r="118" spans="12:65" x14ac:dyDescent="0.2">
      <c r="L118" s="12"/>
      <c r="M118" s="12"/>
      <c r="N118" s="16"/>
      <c r="O118" s="12"/>
      <c r="P118" s="12"/>
      <c r="Q118" s="16"/>
      <c r="R118" s="12"/>
      <c r="S118" s="12"/>
      <c r="T118" s="16"/>
      <c r="U118" s="12"/>
      <c r="V118" s="12"/>
      <c r="W118" s="16"/>
      <c r="X118" s="12"/>
      <c r="Y118" s="12"/>
      <c r="Z118" s="16"/>
      <c r="AA118" s="12"/>
      <c r="AB118" s="12"/>
      <c r="AC118" s="16"/>
      <c r="AD118" s="12"/>
      <c r="AE118" s="12"/>
      <c r="AF118" s="16"/>
      <c r="AG118" s="12"/>
      <c r="AH118" s="12"/>
      <c r="AI118" s="16"/>
      <c r="AJ118" s="12"/>
      <c r="AK118" s="12"/>
      <c r="AL118" s="16"/>
      <c r="AM118" s="12"/>
      <c r="AN118" s="12"/>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row>
    <row r="119" spans="12:65" x14ac:dyDescent="0.2">
      <c r="L119" s="12"/>
      <c r="M119" s="12"/>
      <c r="N119" s="16"/>
      <c r="O119" s="12"/>
      <c r="P119" s="12"/>
      <c r="Q119" s="16"/>
      <c r="R119" s="12"/>
      <c r="S119" s="12"/>
      <c r="T119" s="16"/>
      <c r="U119" s="12"/>
      <c r="V119" s="12"/>
      <c r="W119" s="16"/>
      <c r="X119" s="12"/>
      <c r="Y119" s="12"/>
      <c r="Z119" s="16"/>
      <c r="AA119" s="12"/>
      <c r="AB119" s="12"/>
      <c r="AC119" s="16"/>
      <c r="AD119" s="12"/>
      <c r="AE119" s="12"/>
      <c r="AF119" s="16"/>
      <c r="AG119" s="12"/>
      <c r="AH119" s="12"/>
      <c r="AI119" s="16"/>
      <c r="AJ119" s="12"/>
      <c r="AK119" s="12"/>
      <c r="AL119" s="16"/>
      <c r="AM119" s="12"/>
      <c r="AN119" s="12"/>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row>
    <row r="120" spans="12:65" x14ac:dyDescent="0.2">
      <c r="L120" s="12"/>
      <c r="M120" s="12"/>
      <c r="N120" s="16"/>
      <c r="O120" s="12"/>
      <c r="P120" s="12"/>
      <c r="Q120" s="16"/>
      <c r="R120" s="12"/>
      <c r="S120" s="12"/>
      <c r="T120" s="16"/>
      <c r="U120" s="12"/>
      <c r="V120" s="12"/>
      <c r="W120" s="16"/>
      <c r="X120" s="12"/>
      <c r="Y120" s="12"/>
      <c r="Z120" s="16"/>
      <c r="AA120" s="12"/>
      <c r="AB120" s="12"/>
      <c r="AC120" s="16"/>
      <c r="AD120" s="12"/>
      <c r="AE120" s="12"/>
      <c r="AF120" s="16"/>
      <c r="AG120" s="12"/>
      <c r="AH120" s="12"/>
      <c r="AI120" s="16"/>
      <c r="AJ120" s="12"/>
      <c r="AK120" s="12"/>
      <c r="AL120" s="16"/>
      <c r="AM120" s="12"/>
      <c r="AN120" s="12"/>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row>
    <row r="121" spans="12:65" x14ac:dyDescent="0.2">
      <c r="L121" s="12"/>
      <c r="M121" s="12"/>
      <c r="N121" s="16"/>
      <c r="O121" s="12"/>
      <c r="P121" s="12"/>
      <c r="Q121" s="16"/>
      <c r="R121" s="12"/>
      <c r="S121" s="12"/>
      <c r="T121" s="16"/>
      <c r="U121" s="12"/>
      <c r="V121" s="12"/>
      <c r="W121" s="16"/>
      <c r="X121" s="12"/>
      <c r="Y121" s="12"/>
      <c r="Z121" s="16"/>
      <c r="AA121" s="12"/>
      <c r="AB121" s="12"/>
      <c r="AC121" s="16"/>
      <c r="AD121" s="12"/>
      <c r="AE121" s="12"/>
      <c r="AF121" s="16"/>
      <c r="AG121" s="12"/>
      <c r="AH121" s="12"/>
      <c r="AI121" s="16"/>
      <c r="AJ121" s="12"/>
      <c r="AK121" s="12"/>
      <c r="AL121" s="16"/>
      <c r="AM121" s="12"/>
      <c r="AN121" s="12"/>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row>
    <row r="122" spans="12:65" x14ac:dyDescent="0.2">
      <c r="L122" s="12"/>
      <c r="M122" s="12"/>
      <c r="N122" s="16"/>
      <c r="O122" s="12"/>
      <c r="P122" s="12"/>
      <c r="Q122" s="16"/>
      <c r="R122" s="12"/>
      <c r="S122" s="12"/>
      <c r="T122" s="16"/>
      <c r="U122" s="12"/>
      <c r="V122" s="12"/>
      <c r="W122" s="16"/>
      <c r="X122" s="12"/>
      <c r="Y122" s="12"/>
      <c r="Z122" s="16"/>
      <c r="AA122" s="12"/>
      <c r="AB122" s="12"/>
      <c r="AC122" s="16"/>
      <c r="AD122" s="12"/>
      <c r="AE122" s="12"/>
      <c r="AF122" s="16"/>
      <c r="AG122" s="12"/>
      <c r="AH122" s="12"/>
      <c r="AI122" s="16"/>
      <c r="AJ122" s="12"/>
      <c r="AK122" s="12"/>
      <c r="AL122" s="16"/>
      <c r="AM122" s="12"/>
      <c r="AN122" s="12"/>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row>
    <row r="123" spans="12:65" x14ac:dyDescent="0.2">
      <c r="L123" s="12"/>
      <c r="M123" s="12"/>
      <c r="N123" s="16"/>
      <c r="O123" s="12"/>
      <c r="P123" s="12"/>
      <c r="Q123" s="16"/>
      <c r="R123" s="12"/>
      <c r="S123" s="12"/>
      <c r="T123" s="16"/>
      <c r="U123" s="12"/>
      <c r="V123" s="12"/>
      <c r="W123" s="16"/>
      <c r="X123" s="12"/>
      <c r="Y123" s="12"/>
      <c r="Z123" s="16"/>
      <c r="AA123" s="12"/>
      <c r="AB123" s="12"/>
      <c r="AC123" s="16"/>
      <c r="AD123" s="12"/>
      <c r="AE123" s="12"/>
      <c r="AF123" s="16"/>
      <c r="AG123" s="12"/>
      <c r="AH123" s="12"/>
      <c r="AI123" s="16"/>
      <c r="AJ123" s="12"/>
      <c r="AK123" s="12"/>
      <c r="AL123" s="16"/>
      <c r="AM123" s="12"/>
      <c r="AN123" s="12"/>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row>
    <row r="124" spans="12:65" x14ac:dyDescent="0.2">
      <c r="L124" s="12"/>
      <c r="M124" s="12"/>
      <c r="N124" s="16"/>
      <c r="O124" s="12"/>
      <c r="P124" s="12"/>
      <c r="Q124" s="16"/>
      <c r="R124" s="12"/>
      <c r="S124" s="12"/>
      <c r="T124" s="16"/>
      <c r="U124" s="12"/>
      <c r="V124" s="12"/>
      <c r="W124" s="16"/>
      <c r="X124" s="12"/>
      <c r="Y124" s="12"/>
      <c r="Z124" s="16"/>
      <c r="AA124" s="12"/>
      <c r="AB124" s="12"/>
      <c r="AC124" s="16"/>
      <c r="AD124" s="12"/>
      <c r="AE124" s="12"/>
      <c r="AF124" s="16"/>
      <c r="AG124" s="12"/>
      <c r="AH124" s="12"/>
      <c r="AI124" s="16"/>
      <c r="AJ124" s="12"/>
      <c r="AK124" s="12"/>
      <c r="AL124" s="16"/>
      <c r="AM124" s="12"/>
      <c r="AN124" s="12"/>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row>
    <row r="125" spans="12:65" x14ac:dyDescent="0.2">
      <c r="L125" s="12"/>
      <c r="M125" s="12"/>
      <c r="N125" s="16"/>
      <c r="O125" s="12"/>
      <c r="P125" s="12"/>
      <c r="Q125" s="16"/>
      <c r="R125" s="12"/>
      <c r="S125" s="12"/>
      <c r="T125" s="16"/>
      <c r="U125" s="12"/>
      <c r="V125" s="12"/>
      <c r="W125" s="16"/>
      <c r="X125" s="12"/>
      <c r="Y125" s="12"/>
      <c r="Z125" s="16"/>
      <c r="AA125" s="12"/>
      <c r="AB125" s="12"/>
      <c r="AC125" s="16"/>
      <c r="AD125" s="12"/>
      <c r="AE125" s="12"/>
      <c r="AF125" s="16"/>
      <c r="AG125" s="12"/>
      <c r="AH125" s="12"/>
      <c r="AI125" s="16"/>
      <c r="AJ125" s="12"/>
      <c r="AK125" s="12"/>
      <c r="AL125" s="16"/>
      <c r="AM125" s="12"/>
      <c r="AN125" s="12"/>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row>
    <row r="126" spans="12:65" x14ac:dyDescent="0.2">
      <c r="L126" s="12"/>
      <c r="M126" s="12"/>
      <c r="N126" s="16"/>
      <c r="O126" s="12"/>
      <c r="P126" s="12"/>
      <c r="Q126" s="16"/>
      <c r="R126" s="12"/>
      <c r="S126" s="12"/>
      <c r="T126" s="16"/>
      <c r="U126" s="12"/>
      <c r="V126" s="12"/>
      <c r="W126" s="16"/>
      <c r="X126" s="12"/>
      <c r="Y126" s="12"/>
      <c r="Z126" s="16"/>
      <c r="AA126" s="12"/>
      <c r="AB126" s="12"/>
      <c r="AC126" s="16"/>
      <c r="AD126" s="12"/>
      <c r="AE126" s="12"/>
      <c r="AF126" s="16"/>
      <c r="AG126" s="12"/>
      <c r="AH126" s="12"/>
      <c r="AI126" s="16"/>
      <c r="AJ126" s="12"/>
      <c r="AK126" s="12"/>
      <c r="AL126" s="16"/>
      <c r="AM126" s="12"/>
      <c r="AN126" s="12"/>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row>
    <row r="127" spans="12:65" x14ac:dyDescent="0.2">
      <c r="L127" s="12"/>
      <c r="M127" s="12"/>
      <c r="N127" s="16"/>
      <c r="O127" s="12"/>
      <c r="P127" s="12"/>
      <c r="Q127" s="16"/>
      <c r="R127" s="12"/>
      <c r="S127" s="12"/>
      <c r="T127" s="16"/>
      <c r="U127" s="12"/>
      <c r="V127" s="12"/>
      <c r="W127" s="16"/>
      <c r="X127" s="12"/>
      <c r="Y127" s="12"/>
      <c r="Z127" s="16"/>
      <c r="AA127" s="12"/>
      <c r="AB127" s="12"/>
      <c r="AC127" s="16"/>
      <c r="AD127" s="12"/>
      <c r="AE127" s="12"/>
      <c r="AF127" s="16"/>
      <c r="AG127" s="12"/>
      <c r="AH127" s="12"/>
      <c r="AI127" s="16"/>
      <c r="AJ127" s="12"/>
      <c r="AK127" s="12"/>
      <c r="AL127" s="16"/>
      <c r="AM127" s="12"/>
      <c r="AN127" s="12"/>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row>
    <row r="128" spans="12:65" x14ac:dyDescent="0.2">
      <c r="L128" s="12"/>
      <c r="M128" s="12"/>
      <c r="N128" s="16"/>
      <c r="O128" s="12"/>
      <c r="P128" s="12"/>
      <c r="Q128" s="16"/>
      <c r="R128" s="12"/>
      <c r="S128" s="12"/>
      <c r="T128" s="16"/>
      <c r="U128" s="12"/>
      <c r="V128" s="12"/>
      <c r="W128" s="16"/>
      <c r="X128" s="12"/>
      <c r="Y128" s="12"/>
      <c r="Z128" s="16"/>
      <c r="AA128" s="12"/>
      <c r="AB128" s="12"/>
      <c r="AC128" s="16"/>
      <c r="AD128" s="12"/>
      <c r="AE128" s="12"/>
      <c r="AF128" s="16"/>
      <c r="AG128" s="12"/>
      <c r="AH128" s="12"/>
      <c r="AI128" s="16"/>
      <c r="AJ128" s="12"/>
      <c r="AK128" s="12"/>
      <c r="AL128" s="16"/>
      <c r="AM128" s="12"/>
      <c r="AN128" s="12"/>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row>
    <row r="129" spans="12:65" x14ac:dyDescent="0.2">
      <c r="L129" s="12"/>
      <c r="M129" s="12"/>
      <c r="N129" s="16"/>
      <c r="O129" s="12"/>
      <c r="P129" s="12"/>
      <c r="Q129" s="16"/>
      <c r="R129" s="12"/>
      <c r="S129" s="12"/>
      <c r="T129" s="16"/>
      <c r="U129" s="12"/>
      <c r="V129" s="12"/>
      <c r="W129" s="16"/>
      <c r="X129" s="12"/>
      <c r="Y129" s="12"/>
      <c r="Z129" s="16"/>
      <c r="AA129" s="12"/>
      <c r="AB129" s="12"/>
      <c r="AC129" s="16"/>
      <c r="AD129" s="12"/>
      <c r="AE129" s="12"/>
      <c r="AF129" s="16"/>
      <c r="AG129" s="12"/>
      <c r="AH129" s="12"/>
      <c r="AI129" s="16"/>
      <c r="AJ129" s="12"/>
      <c r="AK129" s="12"/>
      <c r="AL129" s="16"/>
      <c r="AM129" s="12"/>
      <c r="AN129" s="12"/>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row>
    <row r="130" spans="12:65" x14ac:dyDescent="0.2">
      <c r="L130" s="12"/>
      <c r="M130" s="12"/>
      <c r="N130" s="16"/>
      <c r="O130" s="12"/>
      <c r="P130" s="12"/>
      <c r="Q130" s="16"/>
      <c r="R130" s="12"/>
      <c r="S130" s="12"/>
      <c r="T130" s="16"/>
      <c r="U130" s="12"/>
      <c r="V130" s="12"/>
      <c r="W130" s="16"/>
      <c r="X130" s="12"/>
      <c r="Y130" s="12"/>
      <c r="Z130" s="16"/>
      <c r="AA130" s="12"/>
      <c r="AB130" s="12"/>
      <c r="AC130" s="16"/>
      <c r="AD130" s="12"/>
      <c r="AE130" s="12"/>
      <c r="AF130" s="16"/>
      <c r="AG130" s="12"/>
      <c r="AH130" s="12"/>
      <c r="AI130" s="16"/>
      <c r="AJ130" s="12"/>
      <c r="AK130" s="12"/>
      <c r="AL130" s="16"/>
      <c r="AM130" s="12"/>
      <c r="AN130" s="12"/>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row>
    <row r="131" spans="12:65" x14ac:dyDescent="0.2">
      <c r="L131" s="12"/>
      <c r="M131" s="12"/>
      <c r="N131" s="16"/>
      <c r="O131" s="12"/>
      <c r="P131" s="12"/>
      <c r="Q131" s="16"/>
      <c r="R131" s="12"/>
      <c r="S131" s="12"/>
      <c r="T131" s="16"/>
      <c r="U131" s="12"/>
      <c r="V131" s="12"/>
      <c r="W131" s="16"/>
      <c r="X131" s="12"/>
      <c r="Y131" s="12"/>
      <c r="Z131" s="16"/>
      <c r="AA131" s="12"/>
      <c r="AB131" s="12"/>
      <c r="AC131" s="16"/>
      <c r="AD131" s="12"/>
      <c r="AE131" s="12"/>
      <c r="AF131" s="16"/>
      <c r="AG131" s="12"/>
      <c r="AH131" s="12"/>
      <c r="AI131" s="16"/>
      <c r="AJ131" s="12"/>
      <c r="AK131" s="12"/>
      <c r="AL131" s="16"/>
      <c r="AM131" s="12"/>
      <c r="AN131" s="12"/>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row>
    <row r="132" spans="12:65" x14ac:dyDescent="0.2">
      <c r="L132" s="12"/>
      <c r="M132" s="12"/>
      <c r="N132" s="16"/>
      <c r="O132" s="12"/>
      <c r="P132" s="12"/>
      <c r="Q132" s="16"/>
      <c r="R132" s="12"/>
      <c r="S132" s="12"/>
      <c r="T132" s="16"/>
      <c r="U132" s="12"/>
      <c r="V132" s="12"/>
      <c r="W132" s="16"/>
      <c r="X132" s="12"/>
      <c r="Y132" s="12"/>
      <c r="Z132" s="16"/>
      <c r="AA132" s="12"/>
      <c r="AB132" s="12"/>
      <c r="AC132" s="16"/>
      <c r="AD132" s="12"/>
      <c r="AE132" s="12"/>
      <c r="AF132" s="16"/>
      <c r="AG132" s="12"/>
      <c r="AH132" s="12"/>
      <c r="AI132" s="16"/>
      <c r="AJ132" s="12"/>
      <c r="AK132" s="12"/>
      <c r="AL132" s="16"/>
      <c r="AM132" s="12"/>
      <c r="AN132" s="12"/>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row>
    <row r="133" spans="12:65" x14ac:dyDescent="0.2">
      <c r="L133" s="12"/>
      <c r="M133" s="12"/>
      <c r="N133" s="16"/>
      <c r="O133" s="12"/>
      <c r="P133" s="12"/>
      <c r="Q133" s="16"/>
      <c r="R133" s="12"/>
      <c r="S133" s="12"/>
      <c r="T133" s="16"/>
      <c r="U133" s="12"/>
      <c r="V133" s="12"/>
      <c r="W133" s="16"/>
      <c r="X133" s="12"/>
      <c r="Y133" s="12"/>
      <c r="Z133" s="16"/>
      <c r="AA133" s="12"/>
      <c r="AB133" s="12"/>
      <c r="AC133" s="16"/>
      <c r="AD133" s="12"/>
      <c r="AE133" s="12"/>
      <c r="AF133" s="16"/>
      <c r="AG133" s="12"/>
      <c r="AH133" s="12"/>
      <c r="AI133" s="16"/>
      <c r="AJ133" s="12"/>
      <c r="AK133" s="12"/>
      <c r="AL133" s="16"/>
      <c r="AM133" s="12"/>
      <c r="AN133" s="12"/>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row>
    <row r="134" spans="12:65" x14ac:dyDescent="0.2">
      <c r="L134" s="12"/>
      <c r="M134" s="12"/>
      <c r="N134" s="16"/>
      <c r="O134" s="12"/>
      <c r="P134" s="12"/>
      <c r="Q134" s="16"/>
      <c r="R134" s="12"/>
      <c r="S134" s="12"/>
      <c r="T134" s="16"/>
      <c r="U134" s="12"/>
      <c r="V134" s="12"/>
      <c r="W134" s="16"/>
      <c r="X134" s="12"/>
      <c r="Y134" s="12"/>
      <c r="Z134" s="16"/>
      <c r="AA134" s="12"/>
      <c r="AB134" s="12"/>
      <c r="AC134" s="16"/>
      <c r="AD134" s="12"/>
      <c r="AE134" s="12"/>
      <c r="AF134" s="16"/>
      <c r="AG134" s="12"/>
      <c r="AH134" s="12"/>
      <c r="AI134" s="16"/>
      <c r="AJ134" s="12"/>
      <c r="AK134" s="12"/>
      <c r="AL134" s="16"/>
      <c r="AM134" s="12"/>
      <c r="AN134" s="12"/>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row>
    <row r="135" spans="12:65" x14ac:dyDescent="0.2">
      <c r="L135" s="12"/>
      <c r="M135" s="12"/>
      <c r="N135" s="16"/>
      <c r="O135" s="12"/>
      <c r="P135" s="12"/>
      <c r="Q135" s="16"/>
      <c r="R135" s="12"/>
      <c r="S135" s="12"/>
      <c r="T135" s="16"/>
      <c r="U135" s="12"/>
      <c r="V135" s="12"/>
      <c r="W135" s="16"/>
      <c r="X135" s="12"/>
      <c r="Y135" s="12"/>
      <c r="Z135" s="16"/>
      <c r="AA135" s="12"/>
      <c r="AB135" s="12"/>
      <c r="AC135" s="16"/>
      <c r="AD135" s="12"/>
      <c r="AE135" s="12"/>
      <c r="AF135" s="16"/>
      <c r="AG135" s="12"/>
      <c r="AH135" s="12"/>
      <c r="AI135" s="16"/>
      <c r="AJ135" s="12"/>
      <c r="AK135" s="12"/>
      <c r="AL135" s="16"/>
      <c r="AM135" s="12"/>
      <c r="AN135" s="12"/>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row>
    <row r="136" spans="12:65" x14ac:dyDescent="0.2">
      <c r="L136" s="12"/>
      <c r="M136" s="12"/>
      <c r="N136" s="16"/>
      <c r="O136" s="12"/>
      <c r="P136" s="12"/>
      <c r="Q136" s="16"/>
      <c r="R136" s="12"/>
      <c r="S136" s="12"/>
      <c r="T136" s="16"/>
      <c r="U136" s="12"/>
      <c r="V136" s="12"/>
      <c r="W136" s="16"/>
      <c r="X136" s="12"/>
      <c r="Y136" s="12"/>
      <c r="Z136" s="16"/>
      <c r="AA136" s="12"/>
      <c r="AB136" s="12"/>
      <c r="AC136" s="16"/>
      <c r="AD136" s="12"/>
      <c r="AE136" s="12"/>
      <c r="AF136" s="16"/>
      <c r="AG136" s="12"/>
      <c r="AH136" s="12"/>
      <c r="AI136" s="16"/>
      <c r="AJ136" s="12"/>
      <c r="AK136" s="12"/>
      <c r="AL136" s="16"/>
      <c r="AM136" s="12"/>
      <c r="AN136" s="12"/>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row>
    <row r="137" spans="12:65" x14ac:dyDescent="0.2">
      <c r="L137" s="12"/>
      <c r="M137" s="12"/>
      <c r="N137" s="16"/>
      <c r="O137" s="12"/>
      <c r="P137" s="12"/>
      <c r="Q137" s="16"/>
      <c r="R137" s="12"/>
      <c r="S137" s="12"/>
      <c r="T137" s="16"/>
      <c r="U137" s="12"/>
      <c r="V137" s="12"/>
      <c r="W137" s="16"/>
      <c r="X137" s="12"/>
      <c r="Y137" s="12"/>
      <c r="Z137" s="16"/>
      <c r="AA137" s="12"/>
      <c r="AB137" s="12"/>
      <c r="AC137" s="16"/>
      <c r="AD137" s="12"/>
      <c r="AE137" s="12"/>
      <c r="AF137" s="16"/>
      <c r="AG137" s="12"/>
      <c r="AH137" s="12"/>
      <c r="AI137" s="16"/>
      <c r="AJ137" s="12"/>
      <c r="AK137" s="12"/>
      <c r="AL137" s="16"/>
      <c r="AM137" s="12"/>
      <c r="AN137" s="12"/>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row>
    <row r="138" spans="12:65" x14ac:dyDescent="0.2">
      <c r="L138" s="12"/>
      <c r="M138" s="12"/>
      <c r="N138" s="16"/>
      <c r="O138" s="12"/>
      <c r="P138" s="12"/>
      <c r="Q138" s="16"/>
      <c r="R138" s="12"/>
      <c r="S138" s="12"/>
      <c r="T138" s="16"/>
      <c r="U138" s="12"/>
      <c r="V138" s="12"/>
      <c r="W138" s="16"/>
      <c r="X138" s="12"/>
      <c r="Y138" s="12"/>
      <c r="Z138" s="16"/>
      <c r="AA138" s="12"/>
      <c r="AB138" s="12"/>
      <c r="AC138" s="16"/>
      <c r="AD138" s="12"/>
      <c r="AE138" s="12"/>
      <c r="AF138" s="16"/>
      <c r="AG138" s="12"/>
      <c r="AH138" s="12"/>
      <c r="AI138" s="16"/>
      <c r="AJ138" s="12"/>
      <c r="AK138" s="12"/>
      <c r="AL138" s="16"/>
      <c r="AM138" s="12"/>
      <c r="AN138" s="12"/>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row>
    <row r="139" spans="12:65" x14ac:dyDescent="0.2">
      <c r="L139" s="12"/>
      <c r="M139" s="12"/>
      <c r="N139" s="16"/>
      <c r="O139" s="12"/>
      <c r="P139" s="12"/>
      <c r="Q139" s="16"/>
      <c r="R139" s="12"/>
      <c r="S139" s="12"/>
      <c r="T139" s="16"/>
      <c r="U139" s="12"/>
      <c r="V139" s="12"/>
      <c r="W139" s="16"/>
      <c r="X139" s="12"/>
      <c r="Y139" s="12"/>
      <c r="Z139" s="16"/>
      <c r="AA139" s="12"/>
      <c r="AB139" s="12"/>
      <c r="AC139" s="16"/>
      <c r="AD139" s="12"/>
      <c r="AE139" s="12"/>
      <c r="AF139" s="16"/>
      <c r="AG139" s="12"/>
      <c r="AH139" s="12"/>
      <c r="AI139" s="16"/>
      <c r="AJ139" s="12"/>
      <c r="AK139" s="12"/>
      <c r="AL139" s="16"/>
      <c r="AM139" s="12"/>
      <c r="AN139" s="12"/>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row>
    <row r="140" spans="12:65" x14ac:dyDescent="0.2">
      <c r="L140" s="12"/>
      <c r="M140" s="12"/>
      <c r="N140" s="16"/>
      <c r="O140" s="12"/>
      <c r="P140" s="12"/>
      <c r="Q140" s="16"/>
      <c r="R140" s="12"/>
      <c r="S140" s="12"/>
      <c r="T140" s="16"/>
      <c r="U140" s="12"/>
      <c r="V140" s="12"/>
      <c r="W140" s="16"/>
      <c r="X140" s="12"/>
      <c r="Y140" s="12"/>
      <c r="Z140" s="16"/>
      <c r="AA140" s="12"/>
      <c r="AB140" s="12"/>
      <c r="AC140" s="16"/>
      <c r="AD140" s="12"/>
      <c r="AE140" s="12"/>
      <c r="AF140" s="16"/>
      <c r="AG140" s="12"/>
      <c r="AH140" s="12"/>
      <c r="AI140" s="16"/>
      <c r="AJ140" s="12"/>
      <c r="AK140" s="12"/>
      <c r="AL140" s="16"/>
      <c r="AM140" s="12"/>
      <c r="AN140" s="12"/>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row>
    <row r="141" spans="12:65" x14ac:dyDescent="0.2">
      <c r="L141" s="12"/>
      <c r="M141" s="12"/>
      <c r="N141" s="16"/>
      <c r="O141" s="12"/>
      <c r="P141" s="12"/>
      <c r="Q141" s="16"/>
      <c r="R141" s="12"/>
      <c r="S141" s="12"/>
      <c r="T141" s="16"/>
      <c r="U141" s="12"/>
      <c r="V141" s="12"/>
      <c r="W141" s="16"/>
      <c r="X141" s="12"/>
      <c r="Y141" s="12"/>
      <c r="Z141" s="16"/>
      <c r="AA141" s="12"/>
      <c r="AB141" s="12"/>
      <c r="AC141" s="16"/>
      <c r="AD141" s="12"/>
      <c r="AE141" s="12"/>
      <c r="AF141" s="16"/>
      <c r="AG141" s="12"/>
      <c r="AH141" s="12"/>
      <c r="AI141" s="16"/>
      <c r="AJ141" s="12"/>
      <c r="AK141" s="12"/>
      <c r="AL141" s="16"/>
      <c r="AM141" s="12"/>
      <c r="AN141" s="12"/>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row>
    <row r="142" spans="12:65" x14ac:dyDescent="0.2">
      <c r="L142" s="12"/>
      <c r="M142" s="12"/>
      <c r="N142" s="16"/>
      <c r="O142" s="12"/>
      <c r="P142" s="12"/>
      <c r="Q142" s="16"/>
      <c r="R142" s="12"/>
      <c r="S142" s="12"/>
      <c r="T142" s="16"/>
      <c r="U142" s="12"/>
      <c r="V142" s="12"/>
      <c r="W142" s="16"/>
      <c r="X142" s="12"/>
      <c r="Y142" s="12"/>
      <c r="Z142" s="16"/>
      <c r="AA142" s="12"/>
      <c r="AB142" s="12"/>
      <c r="AC142" s="16"/>
      <c r="AD142" s="12"/>
      <c r="AE142" s="12"/>
      <c r="AF142" s="16"/>
      <c r="AG142" s="12"/>
      <c r="AH142" s="12"/>
      <c r="AI142" s="16"/>
      <c r="AJ142" s="12"/>
      <c r="AK142" s="12"/>
      <c r="AL142" s="16"/>
      <c r="AM142" s="12"/>
      <c r="AN142" s="12"/>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row>
    <row r="143" spans="12:65" x14ac:dyDescent="0.2">
      <c r="L143" s="12"/>
      <c r="M143" s="12"/>
      <c r="N143" s="16"/>
      <c r="O143" s="12"/>
      <c r="P143" s="12"/>
      <c r="Q143" s="16"/>
      <c r="R143" s="12"/>
      <c r="S143" s="12"/>
      <c r="T143" s="16"/>
      <c r="U143" s="12"/>
      <c r="V143" s="12"/>
      <c r="W143" s="16"/>
      <c r="X143" s="12"/>
      <c r="Y143" s="12"/>
      <c r="Z143" s="16"/>
      <c r="AA143" s="12"/>
      <c r="AB143" s="12"/>
      <c r="AC143" s="16"/>
      <c r="AD143" s="12"/>
      <c r="AE143" s="12"/>
      <c r="AF143" s="16"/>
      <c r="AG143" s="12"/>
      <c r="AH143" s="12"/>
      <c r="AI143" s="16"/>
      <c r="AJ143" s="12"/>
      <c r="AK143" s="12"/>
      <c r="AL143" s="16"/>
      <c r="AM143" s="12"/>
      <c r="AN143" s="12"/>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row>
    <row r="144" spans="12:65" x14ac:dyDescent="0.2">
      <c r="L144" s="12"/>
      <c r="M144" s="12"/>
      <c r="N144" s="16"/>
      <c r="O144" s="12"/>
      <c r="P144" s="12"/>
      <c r="Q144" s="16"/>
      <c r="R144" s="12"/>
      <c r="S144" s="12"/>
      <c r="T144" s="16"/>
      <c r="U144" s="12"/>
      <c r="V144" s="12"/>
      <c r="W144" s="16"/>
      <c r="X144" s="12"/>
      <c r="Y144" s="12"/>
      <c r="Z144" s="16"/>
      <c r="AA144" s="12"/>
      <c r="AB144" s="12"/>
      <c r="AC144" s="16"/>
      <c r="AD144" s="12"/>
      <c r="AE144" s="12"/>
      <c r="AF144" s="16"/>
      <c r="AG144" s="12"/>
      <c r="AH144" s="12"/>
      <c r="AI144" s="16"/>
      <c r="AJ144" s="12"/>
      <c r="AK144" s="12"/>
      <c r="AL144" s="16"/>
      <c r="AM144" s="12"/>
      <c r="AN144" s="12"/>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row>
    <row r="145" spans="12:65" x14ac:dyDescent="0.2">
      <c r="L145" s="12"/>
      <c r="M145" s="12"/>
      <c r="N145" s="16"/>
      <c r="O145" s="12"/>
      <c r="P145" s="12"/>
      <c r="Q145" s="16"/>
      <c r="R145" s="12"/>
      <c r="S145" s="12"/>
      <c r="T145" s="16"/>
      <c r="U145" s="12"/>
      <c r="V145" s="12"/>
      <c r="W145" s="16"/>
      <c r="X145" s="12"/>
      <c r="Y145" s="12"/>
      <c r="Z145" s="16"/>
      <c r="AA145" s="12"/>
      <c r="AB145" s="12"/>
      <c r="AC145" s="16"/>
      <c r="AD145" s="12"/>
      <c r="AE145" s="12"/>
      <c r="AF145" s="16"/>
      <c r="AG145" s="12"/>
      <c r="AH145" s="12"/>
      <c r="AI145" s="16"/>
      <c r="AJ145" s="12"/>
      <c r="AK145" s="12"/>
      <c r="AL145" s="16"/>
      <c r="AM145" s="12"/>
      <c r="AN145" s="12"/>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row>
    <row r="146" spans="12:65" x14ac:dyDescent="0.2">
      <c r="L146" s="12"/>
      <c r="M146" s="12"/>
      <c r="N146" s="16"/>
      <c r="O146" s="12"/>
      <c r="P146" s="12"/>
      <c r="Q146" s="16"/>
      <c r="R146" s="12"/>
      <c r="S146" s="12"/>
      <c r="T146" s="16"/>
      <c r="U146" s="12"/>
      <c r="V146" s="12"/>
      <c r="W146" s="16"/>
      <c r="X146" s="12"/>
      <c r="Y146" s="12"/>
      <c r="Z146" s="16"/>
      <c r="AA146" s="12"/>
      <c r="AB146" s="12"/>
      <c r="AC146" s="16"/>
      <c r="AD146" s="12"/>
      <c r="AE146" s="12"/>
      <c r="AF146" s="16"/>
      <c r="AG146" s="12"/>
      <c r="AH146" s="12"/>
      <c r="AI146" s="16"/>
      <c r="AJ146" s="12"/>
      <c r="AK146" s="12"/>
      <c r="AL146" s="16"/>
      <c r="AM146" s="12"/>
      <c r="AN146" s="12"/>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row>
    <row r="147" spans="12:65" x14ac:dyDescent="0.2">
      <c r="L147" s="12"/>
      <c r="M147" s="12"/>
      <c r="N147" s="16"/>
      <c r="O147" s="12"/>
      <c r="P147" s="12"/>
      <c r="Q147" s="16"/>
      <c r="R147" s="12"/>
      <c r="S147" s="12"/>
      <c r="T147" s="16"/>
      <c r="U147" s="12"/>
      <c r="V147" s="12"/>
      <c r="W147" s="16"/>
      <c r="X147" s="12"/>
      <c r="Y147" s="12"/>
      <c r="Z147" s="16"/>
      <c r="AA147" s="12"/>
      <c r="AB147" s="12"/>
      <c r="AC147" s="16"/>
      <c r="AD147" s="12"/>
      <c r="AE147" s="12"/>
      <c r="AF147" s="16"/>
      <c r="AG147" s="12"/>
      <c r="AH147" s="12"/>
      <c r="AI147" s="16"/>
      <c r="AJ147" s="12"/>
      <c r="AK147" s="12"/>
      <c r="AL147" s="16"/>
      <c r="AM147" s="12"/>
      <c r="AN147" s="12"/>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row>
    <row r="148" spans="12:65" x14ac:dyDescent="0.2">
      <c r="L148" s="12"/>
      <c r="M148" s="12"/>
      <c r="N148" s="16"/>
      <c r="O148" s="12"/>
      <c r="P148" s="12"/>
      <c r="Q148" s="16"/>
      <c r="R148" s="12"/>
      <c r="S148" s="12"/>
      <c r="T148" s="16"/>
      <c r="U148" s="12"/>
      <c r="V148" s="12"/>
      <c r="W148" s="16"/>
      <c r="X148" s="12"/>
      <c r="Y148" s="12"/>
      <c r="Z148" s="16"/>
      <c r="AA148" s="12"/>
      <c r="AB148" s="12"/>
      <c r="AC148" s="16"/>
      <c r="AD148" s="12"/>
      <c r="AE148" s="12"/>
      <c r="AF148" s="16"/>
      <c r="AG148" s="12"/>
      <c r="AH148" s="12"/>
      <c r="AI148" s="16"/>
      <c r="AJ148" s="12"/>
      <c r="AK148" s="12"/>
      <c r="AL148" s="16"/>
      <c r="AM148" s="12"/>
      <c r="AN148" s="12"/>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row>
    <row r="149" spans="12:65" x14ac:dyDescent="0.2">
      <c r="L149" s="12"/>
      <c r="M149" s="12"/>
      <c r="N149" s="16"/>
      <c r="O149" s="12"/>
      <c r="P149" s="12"/>
      <c r="Q149" s="16"/>
      <c r="R149" s="12"/>
      <c r="S149" s="12"/>
      <c r="T149" s="16"/>
      <c r="U149" s="12"/>
      <c r="V149" s="12"/>
      <c r="W149" s="16"/>
      <c r="X149" s="12"/>
      <c r="Y149" s="12"/>
      <c r="Z149" s="16"/>
      <c r="AA149" s="12"/>
      <c r="AB149" s="12"/>
      <c r="AC149" s="16"/>
      <c r="AD149" s="12"/>
      <c r="AE149" s="12"/>
      <c r="AF149" s="16"/>
      <c r="AG149" s="12"/>
      <c r="AH149" s="12"/>
      <c r="AI149" s="16"/>
      <c r="AJ149" s="12"/>
      <c r="AK149" s="12"/>
      <c r="AL149" s="16"/>
      <c r="AM149" s="12"/>
      <c r="AN149" s="12"/>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row>
    <row r="150" spans="12:65" x14ac:dyDescent="0.2">
      <c r="L150" s="12"/>
      <c r="M150" s="12"/>
      <c r="N150" s="16"/>
      <c r="O150" s="12"/>
      <c r="P150" s="12"/>
      <c r="Q150" s="16"/>
      <c r="R150" s="12"/>
      <c r="S150" s="12"/>
      <c r="T150" s="16"/>
      <c r="U150" s="12"/>
      <c r="V150" s="12"/>
      <c r="W150" s="16"/>
      <c r="X150" s="12"/>
      <c r="Y150" s="12"/>
      <c r="Z150" s="16"/>
      <c r="AA150" s="12"/>
      <c r="AB150" s="12"/>
      <c r="AC150" s="16"/>
      <c r="AD150" s="12"/>
      <c r="AE150" s="12"/>
      <c r="AF150" s="16"/>
      <c r="AG150" s="12"/>
      <c r="AH150" s="12"/>
      <c r="AI150" s="16"/>
      <c r="AJ150" s="12"/>
      <c r="AK150" s="12"/>
      <c r="AL150" s="16"/>
      <c r="AM150" s="12"/>
      <c r="AN150" s="12"/>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row>
    <row r="151" spans="12:65" x14ac:dyDescent="0.2">
      <c r="L151" s="12"/>
      <c r="M151" s="12"/>
      <c r="N151" s="16"/>
      <c r="O151" s="12"/>
      <c r="P151" s="12"/>
      <c r="Q151" s="16"/>
      <c r="R151" s="12"/>
      <c r="S151" s="12"/>
      <c r="T151" s="16"/>
      <c r="U151" s="12"/>
      <c r="V151" s="12"/>
      <c r="W151" s="16"/>
      <c r="X151" s="12"/>
      <c r="Y151" s="12"/>
      <c r="Z151" s="16"/>
      <c r="AA151" s="12"/>
      <c r="AB151" s="12"/>
      <c r="AC151" s="16"/>
      <c r="AD151" s="12"/>
      <c r="AE151" s="12"/>
      <c r="AF151" s="16"/>
      <c r="AG151" s="12"/>
      <c r="AH151" s="12"/>
      <c r="AI151" s="16"/>
      <c r="AJ151" s="12"/>
      <c r="AK151" s="12"/>
      <c r="AL151" s="16"/>
      <c r="AM151" s="12"/>
      <c r="AN151" s="12"/>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row>
    <row r="152" spans="12:65" x14ac:dyDescent="0.2">
      <c r="L152" s="12"/>
      <c r="M152" s="12"/>
      <c r="N152" s="16"/>
      <c r="O152" s="12"/>
      <c r="P152" s="12"/>
      <c r="Q152" s="16"/>
      <c r="R152" s="12"/>
      <c r="S152" s="12"/>
      <c r="T152" s="16"/>
      <c r="U152" s="12"/>
      <c r="V152" s="12"/>
      <c r="W152" s="16"/>
      <c r="X152" s="12"/>
      <c r="Y152" s="12"/>
      <c r="Z152" s="16"/>
      <c r="AA152" s="12"/>
      <c r="AB152" s="12"/>
      <c r="AC152" s="16"/>
      <c r="AD152" s="12"/>
      <c r="AE152" s="12"/>
      <c r="AF152" s="16"/>
      <c r="AG152" s="12"/>
      <c r="AH152" s="12"/>
      <c r="AI152" s="16"/>
      <c r="AJ152" s="12"/>
      <c r="AK152" s="12"/>
      <c r="AL152" s="16"/>
      <c r="AM152" s="12"/>
      <c r="AN152" s="12"/>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row>
    <row r="153" spans="12:65" x14ac:dyDescent="0.2">
      <c r="L153" s="12"/>
      <c r="M153" s="12"/>
      <c r="N153" s="16"/>
      <c r="O153" s="12"/>
      <c r="P153" s="12"/>
      <c r="Q153" s="16"/>
      <c r="R153" s="12"/>
      <c r="S153" s="12"/>
      <c r="T153" s="16"/>
      <c r="U153" s="12"/>
      <c r="V153" s="12"/>
      <c r="W153" s="16"/>
      <c r="X153" s="12"/>
      <c r="Y153" s="12"/>
      <c r="Z153" s="16"/>
      <c r="AA153" s="12"/>
      <c r="AB153" s="12"/>
      <c r="AC153" s="16"/>
      <c r="AD153" s="12"/>
      <c r="AE153" s="12"/>
      <c r="AF153" s="16"/>
      <c r="AG153" s="12"/>
      <c r="AH153" s="12"/>
      <c r="AI153" s="16"/>
      <c r="AJ153" s="12"/>
      <c r="AK153" s="12"/>
      <c r="AL153" s="16"/>
      <c r="AM153" s="12"/>
      <c r="AN153" s="12"/>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row>
    <row r="154" spans="12:65" x14ac:dyDescent="0.2">
      <c r="L154" s="12"/>
      <c r="M154" s="12"/>
      <c r="N154" s="16"/>
      <c r="O154" s="12"/>
      <c r="P154" s="12"/>
      <c r="Q154" s="16"/>
      <c r="R154" s="12"/>
      <c r="S154" s="12"/>
      <c r="T154" s="16"/>
      <c r="U154" s="12"/>
      <c r="V154" s="12"/>
      <c r="W154" s="16"/>
      <c r="X154" s="12"/>
      <c r="Y154" s="12"/>
      <c r="Z154" s="16"/>
      <c r="AA154" s="12"/>
      <c r="AB154" s="12"/>
      <c r="AC154" s="16"/>
      <c r="AD154" s="12"/>
      <c r="AE154" s="12"/>
      <c r="AF154" s="16"/>
      <c r="AG154" s="12"/>
      <c r="AH154" s="12"/>
      <c r="AI154" s="16"/>
      <c r="AJ154" s="12"/>
      <c r="AK154" s="12"/>
      <c r="AL154" s="16"/>
      <c r="AM154" s="12"/>
      <c r="AN154" s="12"/>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row>
  </sheetData>
  <sheetProtection formatRows="0" insertRows="0" selectLockedCells="1"/>
  <protectedRanges>
    <protectedRange password="F692" sqref="B19:C19 E19:G19 B53:H53 E39:G39 B22:C22 E22:G22 B39:C39 E27:G27 B27:C27 B47:D47 B51:D51 B52:C52 C59:H59 E36:G36 B36:C36 B20:H21 B15:H18 B23:H26 B28:H35 B37:H38 B40:H45 E47:H52 B48:C50" name="Rango1_1_1_2"/>
    <protectedRange password="F692" sqref="J51 J47 J59 M51 P51 S51 V51 Y51 AB51 AE51 AH51 AK51 AN51 AQ51 AT51 AW51 AZ51 BC51 BF51 BI51 BL51 BF47 BI47 BL47 BF59 BI59 BL59 M59 P59 S59 V59 Y59 AB59 AE59 AH59 AK59 AN59 AQ59 AT59 AW59 AZ59 BC59 M47 P47 S47 V47 Y47 AB47 AE47 AH47 AK47 AN47 AQ47 AT47 AW47 AZ47 BC47" name="Rango1_1_1_3"/>
    <protectedRange password="F692" sqref="J52:J53 M52:M53 P52:P53 S52:S53 V52:V53 Y52:Y53 AB52:AB53 AE52:AE53 AH52:AH53 AK52:AK53 AN52:AN53 AQ52:AQ53 AT52:AT53 AW52:AW53 AZ52:AZ53 BC52:BC53 BF52:BF53 BI52:BI53 BL52:BL53" name="Rango1_1_1_3_2"/>
    <protectedRange password="F692" sqref="B14:C14 E14:H14 H19 H39 H22 H27 H36" name="Rango1_1_1_2_3"/>
    <protectedRange password="F692" sqref="J54:J58 M54:M58 P54:P58 S54:S58 V54:V58 Y54:Y58 AE54:AE58 AH54:AH58 AK54:AK58 AN54:AN58 AQ54:AQ58 AT54:AT58 AW54:AW58 AZ54:AZ58 BC54:BC58 BF54:BF58 BI54:BI58 BL54:BL58 AB54:AB58" name="Rango1_1_1_3_6"/>
    <protectedRange password="F692" sqref="H54:H58" name="Rango1_1_1_2_2_1"/>
    <protectedRange password="F692" sqref="E54:G58" name="Rango1_1_1_1_1_1_1"/>
    <protectedRange password="F692" sqref="B46:H46" name="Rango1_1_1_2_4"/>
  </protectedRanges>
  <mergeCells count="133">
    <mergeCell ref="B1:H1"/>
    <mergeCell ref="B2:H2"/>
    <mergeCell ref="B3:H3"/>
    <mergeCell ref="B4:H4"/>
    <mergeCell ref="B5:H5"/>
    <mergeCell ref="B7:H7"/>
    <mergeCell ref="B9:H9"/>
    <mergeCell ref="BH12:BJ12"/>
    <mergeCell ref="BK10:BM10"/>
    <mergeCell ref="BK11:BM11"/>
    <mergeCell ref="BK12:BM12"/>
    <mergeCell ref="AV12:AX12"/>
    <mergeCell ref="AY10:BA10"/>
    <mergeCell ref="AY11:BA11"/>
    <mergeCell ref="BB11:BD11"/>
    <mergeCell ref="BB12:BD12"/>
    <mergeCell ref="BE10:BG10"/>
    <mergeCell ref="BE11:BG11"/>
    <mergeCell ref="BE12:BG12"/>
    <mergeCell ref="BH10:BJ10"/>
    <mergeCell ref="BH11:BJ11"/>
    <mergeCell ref="AM10:AO10"/>
    <mergeCell ref="AM11:AO11"/>
    <mergeCell ref="AM12:AO12"/>
    <mergeCell ref="B48:F48"/>
    <mergeCell ref="B49:F49"/>
    <mergeCell ref="AJ10:AL10"/>
    <mergeCell ref="AJ11:AL11"/>
    <mergeCell ref="AJ12:AL12"/>
    <mergeCell ref="AJ61:AL61"/>
    <mergeCell ref="AJ62:AL65"/>
    <mergeCell ref="AG10:AI10"/>
    <mergeCell ref="AG11:AI11"/>
    <mergeCell ref="AG12:AI12"/>
    <mergeCell ref="AG61:AI61"/>
    <mergeCell ref="AG62:AI65"/>
    <mergeCell ref="R10:T10"/>
    <mergeCell ref="R11:T11"/>
    <mergeCell ref="R12:T12"/>
    <mergeCell ref="R61:T61"/>
    <mergeCell ref="R62:T65"/>
    <mergeCell ref="I10:K10"/>
    <mergeCell ref="H62:H65"/>
    <mergeCell ref="B11:H11"/>
    <mergeCell ref="B12:H12"/>
    <mergeCell ref="I62:K65"/>
    <mergeCell ref="I61:K61"/>
    <mergeCell ref="I11:K11"/>
    <mergeCell ref="AM62:AO65"/>
    <mergeCell ref="AP10:AR10"/>
    <mergeCell ref="AP11:AR11"/>
    <mergeCell ref="AP12:AR12"/>
    <mergeCell ref="AS10:AU10"/>
    <mergeCell ref="AS11:AU11"/>
    <mergeCell ref="AS12:AU12"/>
    <mergeCell ref="AV10:AX10"/>
    <mergeCell ref="AV11:AX11"/>
    <mergeCell ref="AV61:AX61"/>
    <mergeCell ref="AY12:BA12"/>
    <mergeCell ref="BB10:BD10"/>
    <mergeCell ref="X10:Z10"/>
    <mergeCell ref="X11:Z11"/>
    <mergeCell ref="X12:Z12"/>
    <mergeCell ref="X61:Z61"/>
    <mergeCell ref="X62:Z65"/>
    <mergeCell ref="U10:W10"/>
    <mergeCell ref="U11:W11"/>
    <mergeCell ref="U12:W12"/>
    <mergeCell ref="U61:W61"/>
    <mergeCell ref="U62:W65"/>
    <mergeCell ref="AD10:AF10"/>
    <mergeCell ref="AD11:AF11"/>
    <mergeCell ref="AD12:AF12"/>
    <mergeCell ref="AD61:AF61"/>
    <mergeCell ref="AD62:AF65"/>
    <mergeCell ref="AA10:AC10"/>
    <mergeCell ref="AA11:AC11"/>
    <mergeCell ref="AA12:AC12"/>
    <mergeCell ref="AA61:AC61"/>
    <mergeCell ref="AA62:AC65"/>
    <mergeCell ref="AP61:AR61"/>
    <mergeCell ref="AS61:AU61"/>
    <mergeCell ref="H66:H69"/>
    <mergeCell ref="U66:W69"/>
    <mergeCell ref="X66:Z69"/>
    <mergeCell ref="AA66:AC69"/>
    <mergeCell ref="AD66:AF69"/>
    <mergeCell ref="AG66:AI69"/>
    <mergeCell ref="AJ66:AL69"/>
    <mergeCell ref="AM66:AO69"/>
    <mergeCell ref="AP66:AR69"/>
    <mergeCell ref="I66:K69"/>
    <mergeCell ref="L66:N69"/>
    <mergeCell ref="O66:Q69"/>
    <mergeCell ref="R66:T69"/>
    <mergeCell ref="I12:K12"/>
    <mergeCell ref="O10:Q10"/>
    <mergeCell ref="O11:Q11"/>
    <mergeCell ref="O12:Q12"/>
    <mergeCell ref="O61:Q61"/>
    <mergeCell ref="O62:Q65"/>
    <mergeCell ref="L10:N10"/>
    <mergeCell ref="L11:N11"/>
    <mergeCell ref="L12:N12"/>
    <mergeCell ref="L61:N61"/>
    <mergeCell ref="L62:N65"/>
    <mergeCell ref="AS66:AU69"/>
    <mergeCell ref="AV66:AX69"/>
    <mergeCell ref="AY66:BA69"/>
    <mergeCell ref="BB66:BD69"/>
    <mergeCell ref="BE66:BG69"/>
    <mergeCell ref="BH66:BJ69"/>
    <mergeCell ref="BK66:BM69"/>
    <mergeCell ref="AP62:AR65"/>
    <mergeCell ref="AS62:AU65"/>
    <mergeCell ref="AV62:AX65"/>
    <mergeCell ref="AY62:BA65"/>
    <mergeCell ref="BB62:BD65"/>
    <mergeCell ref="BE62:BG65"/>
    <mergeCell ref="BH62:BJ65"/>
    <mergeCell ref="BK62:BM65"/>
    <mergeCell ref="AY61:BA61"/>
    <mergeCell ref="BB61:BD61"/>
    <mergeCell ref="BE61:BG61"/>
    <mergeCell ref="BH61:BJ61"/>
    <mergeCell ref="BK61:BM61"/>
    <mergeCell ref="B55:G55"/>
    <mergeCell ref="B56:G56"/>
    <mergeCell ref="B57:G57"/>
    <mergeCell ref="B50:F50"/>
    <mergeCell ref="B52:F52"/>
    <mergeCell ref="B54:G54"/>
    <mergeCell ref="AM61:AO61"/>
  </mergeCells>
  <phoneticPr fontId="4" type="noConversion"/>
  <conditionalFormatting sqref="I10:K10">
    <cfRule type="cellIs" dxfId="176" priority="31609" operator="equal">
      <formula>"NO ADMISIBLE"</formula>
    </cfRule>
    <cfRule type="cellIs" dxfId="175" priority="31610" operator="equal">
      <formula>"RECHAZO"</formula>
    </cfRule>
    <cfRule type="cellIs" dxfId="174" priority="31611" operator="equal">
      <formula>"ADMISIBLE"</formula>
    </cfRule>
  </conditionalFormatting>
  <conditionalFormatting sqref="L10:N10">
    <cfRule type="cellIs" dxfId="173" priority="19481" operator="equal">
      <formula>"NO ADMISIBLE"</formula>
    </cfRule>
    <cfRule type="cellIs" dxfId="172" priority="19482" operator="equal">
      <formula>"RECHAZO"</formula>
    </cfRule>
    <cfRule type="cellIs" dxfId="171" priority="19483" operator="equal">
      <formula>"ADMISIBLE"</formula>
    </cfRule>
  </conditionalFormatting>
  <conditionalFormatting sqref="O10:Q10">
    <cfRule type="cellIs" dxfId="170" priority="19471" operator="equal">
      <formula>"NO ADMISIBLE"</formula>
    </cfRule>
    <cfRule type="cellIs" dxfId="169" priority="19472" operator="equal">
      <formula>"RECHAZO"</formula>
    </cfRule>
    <cfRule type="cellIs" dxfId="168" priority="19473" operator="equal">
      <formula>"ADMISIBLE"</formula>
    </cfRule>
  </conditionalFormatting>
  <conditionalFormatting sqref="R10:T10">
    <cfRule type="cellIs" dxfId="167" priority="19461" operator="equal">
      <formula>"NO ADMISIBLE"</formula>
    </cfRule>
    <cfRule type="cellIs" dxfId="166" priority="19462" operator="equal">
      <formula>"RECHAZO"</formula>
    </cfRule>
    <cfRule type="cellIs" dxfId="165" priority="19463" operator="equal">
      <formula>"ADMISIBLE"</formula>
    </cfRule>
  </conditionalFormatting>
  <conditionalFormatting sqref="U10:W10">
    <cfRule type="cellIs" dxfId="164" priority="19451" operator="equal">
      <formula>"NO ADMISIBLE"</formula>
    </cfRule>
    <cfRule type="cellIs" dxfId="163" priority="19452" operator="equal">
      <formula>"RECHAZO"</formula>
    </cfRule>
    <cfRule type="cellIs" dxfId="162" priority="19453" operator="equal">
      <formula>"ADMISIBLE"</formula>
    </cfRule>
  </conditionalFormatting>
  <conditionalFormatting sqref="X10:Z10">
    <cfRule type="cellIs" dxfId="161" priority="19441" operator="equal">
      <formula>"NO ADMISIBLE"</formula>
    </cfRule>
    <cfRule type="cellIs" dxfId="160" priority="19442" operator="equal">
      <formula>"RECHAZO"</formula>
    </cfRule>
    <cfRule type="cellIs" dxfId="159" priority="19443" operator="equal">
      <formula>"ADMISIBLE"</formula>
    </cfRule>
  </conditionalFormatting>
  <conditionalFormatting sqref="AA10:AC10">
    <cfRule type="cellIs" dxfId="158" priority="19431" operator="equal">
      <formula>"NO ADMISIBLE"</formula>
    </cfRule>
    <cfRule type="cellIs" dxfId="157" priority="19432" operator="equal">
      <formula>"RECHAZO"</formula>
    </cfRule>
    <cfRule type="cellIs" dxfId="156" priority="19433" operator="equal">
      <formula>"ADMISIBLE"</formula>
    </cfRule>
  </conditionalFormatting>
  <conditionalFormatting sqref="AD10:AF10">
    <cfRule type="cellIs" dxfId="155" priority="19421" operator="equal">
      <formula>"NO ADMISIBLE"</formula>
    </cfRule>
    <cfRule type="cellIs" dxfId="154" priority="19422" operator="equal">
      <formula>"RECHAZO"</formula>
    </cfRule>
    <cfRule type="cellIs" dxfId="153" priority="19423" operator="equal">
      <formula>"ADMISIBLE"</formula>
    </cfRule>
  </conditionalFormatting>
  <conditionalFormatting sqref="AG10:AI10">
    <cfRule type="cellIs" dxfId="152" priority="19411" operator="equal">
      <formula>"NO ADMISIBLE"</formula>
    </cfRule>
    <cfRule type="cellIs" dxfId="151" priority="19412" operator="equal">
      <formula>"RECHAZO"</formula>
    </cfRule>
    <cfRule type="cellIs" dxfId="150" priority="19413" operator="equal">
      <formula>"ADMISIBLE"</formula>
    </cfRule>
  </conditionalFormatting>
  <conditionalFormatting sqref="H60">
    <cfRule type="cellIs" dxfId="149" priority="19283" operator="notEqual">
      <formula>""</formula>
    </cfRule>
  </conditionalFormatting>
  <conditionalFormatting sqref="K51:K53 K59 K47:K49">
    <cfRule type="cellIs" dxfId="148" priority="19281" operator="equal">
      <formula>"PARA REVISIÓN"</formula>
    </cfRule>
    <cfRule type="cellIs" dxfId="147" priority="19282" operator="equal">
      <formula>"CUMPLE"</formula>
    </cfRule>
  </conditionalFormatting>
  <conditionalFormatting sqref="AJ10:AL10">
    <cfRule type="cellIs" dxfId="146" priority="19273" operator="equal">
      <formula>"NO ADMISIBLE"</formula>
    </cfRule>
    <cfRule type="cellIs" dxfId="145" priority="19274" operator="equal">
      <formula>"RECHAZO"</formula>
    </cfRule>
    <cfRule type="cellIs" dxfId="144" priority="19275" operator="equal">
      <formula>"ADMISIBLE"</formula>
    </cfRule>
  </conditionalFormatting>
  <conditionalFormatting sqref="AM10:AO10">
    <cfRule type="cellIs" dxfId="143" priority="19270" operator="equal">
      <formula>"NO ADMISIBLE"</formula>
    </cfRule>
    <cfRule type="cellIs" dxfId="142" priority="19271" operator="equal">
      <formula>"RECHAZO"</formula>
    </cfRule>
    <cfRule type="cellIs" dxfId="141" priority="19272" operator="equal">
      <formula>"ADMISIBLE"</formula>
    </cfRule>
  </conditionalFormatting>
  <conditionalFormatting sqref="AP10:AR10">
    <cfRule type="cellIs" dxfId="140" priority="19267" operator="equal">
      <formula>"NO ADMISIBLE"</formula>
    </cfRule>
    <cfRule type="cellIs" dxfId="139" priority="19268" operator="equal">
      <formula>"RECHAZO"</formula>
    </cfRule>
    <cfRule type="cellIs" dxfId="138" priority="19269" operator="equal">
      <formula>"ADMISIBLE"</formula>
    </cfRule>
  </conditionalFormatting>
  <conditionalFormatting sqref="AS10:AU10">
    <cfRule type="cellIs" dxfId="137" priority="19264" operator="equal">
      <formula>"NO ADMISIBLE"</formula>
    </cfRule>
    <cfRule type="cellIs" dxfId="136" priority="19265" operator="equal">
      <formula>"RECHAZO"</formula>
    </cfRule>
    <cfRule type="cellIs" dxfId="135" priority="19266" operator="equal">
      <formula>"ADMISIBLE"</formula>
    </cfRule>
  </conditionalFormatting>
  <conditionalFormatting sqref="AV10:AX10">
    <cfRule type="cellIs" dxfId="134" priority="19261" operator="equal">
      <formula>"NO ADMISIBLE"</formula>
    </cfRule>
    <cfRule type="cellIs" dxfId="133" priority="19262" operator="equal">
      <formula>"RECHAZO"</formula>
    </cfRule>
    <cfRule type="cellIs" dxfId="132" priority="19263" operator="equal">
      <formula>"ADMISIBLE"</formula>
    </cfRule>
  </conditionalFormatting>
  <conditionalFormatting sqref="AY10:BA10">
    <cfRule type="cellIs" dxfId="131" priority="19258" operator="equal">
      <formula>"NO ADMISIBLE"</formula>
    </cfRule>
    <cfRule type="cellIs" dxfId="130" priority="19259" operator="equal">
      <formula>"RECHAZO"</formula>
    </cfRule>
    <cfRule type="cellIs" dxfId="129" priority="19260" operator="equal">
      <formula>"ADMISIBLE"</formula>
    </cfRule>
  </conditionalFormatting>
  <conditionalFormatting sqref="BB10:BD10">
    <cfRule type="cellIs" dxfId="128" priority="19255" operator="equal">
      <formula>"NO ADMISIBLE"</formula>
    </cfRule>
    <cfRule type="cellIs" dxfId="127" priority="19256" operator="equal">
      <formula>"RECHAZO"</formula>
    </cfRule>
    <cfRule type="cellIs" dxfId="126" priority="19257" operator="equal">
      <formula>"ADMISIBLE"</formula>
    </cfRule>
  </conditionalFormatting>
  <conditionalFormatting sqref="BE10:BG10">
    <cfRule type="cellIs" dxfId="125" priority="19252" operator="equal">
      <formula>"NO ADMISIBLE"</formula>
    </cfRule>
    <cfRule type="cellIs" dxfId="124" priority="19253" operator="equal">
      <formula>"RECHAZO"</formula>
    </cfRule>
    <cfRule type="cellIs" dxfId="123" priority="19254" operator="equal">
      <formula>"ADMISIBLE"</formula>
    </cfRule>
  </conditionalFormatting>
  <conditionalFormatting sqref="BH10:BJ10">
    <cfRule type="cellIs" dxfId="122" priority="19249" operator="equal">
      <formula>"NO ADMISIBLE"</formula>
    </cfRule>
    <cfRule type="cellIs" dxfId="121" priority="19250" operator="equal">
      <formula>"RECHAZO"</formula>
    </cfRule>
    <cfRule type="cellIs" dxfId="120" priority="19251" operator="equal">
      <formula>"ADMISIBLE"</formula>
    </cfRule>
  </conditionalFormatting>
  <conditionalFormatting sqref="BK10:BM10">
    <cfRule type="cellIs" dxfId="119" priority="19246" operator="equal">
      <formula>"NO ADMISIBLE"</formula>
    </cfRule>
    <cfRule type="cellIs" dxfId="118" priority="19247" operator="equal">
      <formula>"RECHAZO"</formula>
    </cfRule>
    <cfRule type="cellIs" dxfId="117" priority="19248" operator="equal">
      <formula>"ADMISIBLE"</formula>
    </cfRule>
  </conditionalFormatting>
  <conditionalFormatting sqref="K33:K34 K16:K18 K24:K26">
    <cfRule type="cellIs" dxfId="116" priority="19176" operator="equal">
      <formula>"NO VÁLIDA"</formula>
    </cfRule>
    <cfRule type="cellIs" dxfId="115" priority="19177" operator="equal">
      <formula>"VÁLIDA"</formula>
    </cfRule>
  </conditionalFormatting>
  <conditionalFormatting sqref="K50">
    <cfRule type="cellIs" dxfId="114" priority="19162" operator="equal">
      <formula>"NO VÁLIDA"</formula>
    </cfRule>
    <cfRule type="cellIs" dxfId="113" priority="19163" operator="equal">
      <formula>"VÁLIDA"</formula>
    </cfRule>
  </conditionalFormatting>
  <conditionalFormatting sqref="J60">
    <cfRule type="cellIs" dxfId="112" priority="19098" operator="equal">
      <formula>"RECHAZO"</formula>
    </cfRule>
    <cfRule type="cellIs" dxfId="111" priority="19099" operator="equal">
      <formula>"NO ADMISIBLE"</formula>
    </cfRule>
    <cfRule type="cellIs" dxfId="110" priority="19100" operator="notBetween">
      <formula>"RECHAZO"</formula>
      <formula>"NO ADMISIBLE"</formula>
    </cfRule>
  </conditionalFormatting>
  <conditionalFormatting sqref="K60">
    <cfRule type="cellIs" dxfId="109" priority="18684" operator="equal">
      <formula>"NO VÁLIDA"</formula>
    </cfRule>
    <cfRule type="cellIs" dxfId="108" priority="18685" operator="equal">
      <formula>"VÁLIDA"</formula>
    </cfRule>
  </conditionalFormatting>
  <conditionalFormatting sqref="K14">
    <cfRule type="cellIs" dxfId="107" priority="17865" operator="equal">
      <formula>"PARA REVISIÓN"</formula>
    </cfRule>
    <cfRule type="cellIs" dxfId="106" priority="17866" operator="equal">
      <formula>"CUMPLE"</formula>
    </cfRule>
  </conditionalFormatting>
  <conditionalFormatting sqref="K15">
    <cfRule type="cellIs" dxfId="105" priority="17863" operator="equal">
      <formula>"NO VÁLIDA"</formula>
    </cfRule>
    <cfRule type="cellIs" dxfId="104" priority="17864" operator="equal">
      <formula>"VÁLIDA"</formula>
    </cfRule>
  </conditionalFormatting>
  <conditionalFormatting sqref="K19">
    <cfRule type="cellIs" dxfId="103" priority="13126" operator="equal">
      <formula>"PARA REVISIÓN"</formula>
    </cfRule>
    <cfRule type="cellIs" dxfId="102" priority="13127" operator="equal">
      <formula>"CUMPLE"</formula>
    </cfRule>
  </conditionalFormatting>
  <conditionalFormatting sqref="K20">
    <cfRule type="cellIs" dxfId="101" priority="13124" operator="equal">
      <formula>"NO VÁLIDA"</formula>
    </cfRule>
    <cfRule type="cellIs" dxfId="100" priority="13125" operator="equal">
      <formula>"VÁLIDA"</formula>
    </cfRule>
  </conditionalFormatting>
  <conditionalFormatting sqref="K21">
    <cfRule type="cellIs" dxfId="99" priority="6223" operator="equal">
      <formula>"NO VÁLIDA"</formula>
    </cfRule>
    <cfRule type="cellIs" dxfId="98" priority="6224" operator="equal">
      <formula>"VÁLIDA"</formula>
    </cfRule>
  </conditionalFormatting>
  <conditionalFormatting sqref="K40">
    <cfRule type="cellIs" dxfId="97" priority="5936" operator="equal">
      <formula>"NO VÁLIDA"</formula>
    </cfRule>
    <cfRule type="cellIs" dxfId="96" priority="5937" operator="equal">
      <formula>"VÁLIDA"</formula>
    </cfRule>
  </conditionalFormatting>
  <conditionalFormatting sqref="K23">
    <cfRule type="cellIs" dxfId="95" priority="4682" operator="equal">
      <formula>"NO VÁLIDA"</formula>
    </cfRule>
    <cfRule type="cellIs" dxfId="94" priority="4683" operator="equal">
      <formula>"VÁLIDA"</formula>
    </cfRule>
  </conditionalFormatting>
  <conditionalFormatting sqref="K22">
    <cfRule type="cellIs" dxfId="93" priority="2358" operator="equal">
      <formula>"PARA REVISIÓN"</formula>
    </cfRule>
    <cfRule type="cellIs" dxfId="92" priority="2359" operator="equal">
      <formula>"CUMPLE"</formula>
    </cfRule>
  </conditionalFormatting>
  <conditionalFormatting sqref="K39">
    <cfRule type="cellIs" dxfId="91" priority="2354" operator="equal">
      <formula>"PARA REVISIÓN"</formula>
    </cfRule>
    <cfRule type="cellIs" dxfId="90" priority="2355" operator="equal">
      <formula>"CUMPLE"</formula>
    </cfRule>
  </conditionalFormatting>
  <conditionalFormatting sqref="K54">
    <cfRule type="cellIs" dxfId="89" priority="2350" operator="equal">
      <formula>"NO VÁLIDA"</formula>
    </cfRule>
    <cfRule type="cellIs" dxfId="88" priority="2351" operator="equal">
      <formula>"VÁLIDA"</formula>
    </cfRule>
  </conditionalFormatting>
  <conditionalFormatting sqref="K28">
    <cfRule type="cellIs" dxfId="87" priority="1572" operator="equal">
      <formula>"NO VÁLIDA"</formula>
    </cfRule>
    <cfRule type="cellIs" dxfId="86" priority="1573" operator="equal">
      <formula>"VÁLIDA"</formula>
    </cfRule>
  </conditionalFormatting>
  <conditionalFormatting sqref="K35">
    <cfRule type="cellIs" dxfId="85" priority="1570" operator="equal">
      <formula>"NO VÁLIDA"</formula>
    </cfRule>
    <cfRule type="cellIs" dxfId="84" priority="1571" operator="equal">
      <formula>"VÁLIDA"</formula>
    </cfRule>
  </conditionalFormatting>
  <conditionalFormatting sqref="K27">
    <cfRule type="cellIs" dxfId="83" priority="1568" operator="equal">
      <formula>"PARA REVISIÓN"</formula>
    </cfRule>
    <cfRule type="cellIs" dxfId="82" priority="1569" operator="equal">
      <formula>"CUMPLE"</formula>
    </cfRule>
  </conditionalFormatting>
  <conditionalFormatting sqref="K45">
    <cfRule type="cellIs" dxfId="81" priority="1548" operator="equal">
      <formula>"NO VÁLIDA"</formula>
    </cfRule>
    <cfRule type="cellIs" dxfId="80" priority="1549" operator="equal">
      <formula>"VÁLIDA"</formula>
    </cfRule>
  </conditionalFormatting>
  <conditionalFormatting sqref="K46">
    <cfRule type="cellIs" dxfId="79" priority="1094" operator="equal">
      <formula>"NO VÁLIDA"</formula>
    </cfRule>
    <cfRule type="cellIs" dxfId="78" priority="1095" operator="equal">
      <formula>"VÁLIDA"</formula>
    </cfRule>
  </conditionalFormatting>
  <conditionalFormatting sqref="K58">
    <cfRule type="cellIs" dxfId="77" priority="1088" operator="equal">
      <formula>"NO VÁLIDA"</formula>
    </cfRule>
    <cfRule type="cellIs" dxfId="76" priority="1089" operator="equal">
      <formula>"VÁLIDA"</formula>
    </cfRule>
  </conditionalFormatting>
  <conditionalFormatting sqref="K37">
    <cfRule type="cellIs" dxfId="75" priority="921" operator="equal">
      <formula>"NO VÁLIDA"</formula>
    </cfRule>
    <cfRule type="cellIs" dxfId="74" priority="922" operator="equal">
      <formula>"VÁLIDA"</formula>
    </cfRule>
  </conditionalFormatting>
  <conditionalFormatting sqref="K38">
    <cfRule type="cellIs" dxfId="73" priority="919" operator="equal">
      <formula>"NO VÁLIDA"</formula>
    </cfRule>
    <cfRule type="cellIs" dxfId="72" priority="920" operator="equal">
      <formula>"VÁLIDA"</formula>
    </cfRule>
  </conditionalFormatting>
  <conditionalFormatting sqref="K36">
    <cfRule type="cellIs" dxfId="71" priority="917" operator="equal">
      <formula>"PARA REVISIÓN"</formula>
    </cfRule>
    <cfRule type="cellIs" dxfId="70" priority="918" operator="equal">
      <formula>"CUMPLE"</formula>
    </cfRule>
  </conditionalFormatting>
  <conditionalFormatting sqref="K29:K32">
    <cfRule type="cellIs" dxfId="69" priority="445" operator="equal">
      <formula>"NO VÁLIDA"</formula>
    </cfRule>
    <cfRule type="cellIs" dxfId="68" priority="446" operator="equal">
      <formula>"VÁLIDA"</formula>
    </cfRule>
  </conditionalFormatting>
  <conditionalFormatting sqref="K41:K44">
    <cfRule type="cellIs" dxfId="67" priority="443" operator="equal">
      <formula>"NO VÁLIDA"</formula>
    </cfRule>
    <cfRule type="cellIs" dxfId="66" priority="444" operator="equal">
      <formula>"VÁLIDA"</formula>
    </cfRule>
  </conditionalFormatting>
  <conditionalFormatting sqref="K55:K57">
    <cfRule type="cellIs" dxfId="65" priority="441" operator="equal">
      <formula>"NO VÁLIDA"</formula>
    </cfRule>
    <cfRule type="cellIs" dxfId="64" priority="442" operator="equal">
      <formula>"VÁLIDA"</formula>
    </cfRule>
  </conditionalFormatting>
  <conditionalFormatting sqref="N51:N53 Q51:Q53 T51:T53 W51:W53 Z51:Z53 AC51:AC53 AF51:AF53 AI51:AI53 AL51:AL53 AO51:AO53 AR51:AR53 AU51:AU53 AX51:AX53 BA51:BA53 BD51:BD53 BG51:BG53 BJ51:BJ53 BM51:BM53 N59 Q59 T59 W59 Z59 AC59 AF59 AI59 AL59 AO59 AR59 AU59 AX59 BA59 BD59 BG59 BJ59 BM59 N47:N49 Q47:Q49 T47:T49 W47:W49 Z47:Z49 AC47:AC49 AF47:AF49 AI47:AI49 AL47:AL49 AO47:AO49 AR47:AR49 AU47:AU49 AX47:AX49 BA47:BA49 BD47:BD49 BG47:BG49 BJ47:BJ49 BM47:BM49">
    <cfRule type="cellIs" dxfId="63" priority="54" operator="equal">
      <formula>"PARA REVISIÓN"</formula>
    </cfRule>
    <cfRule type="cellIs" dxfId="62" priority="55" operator="equal">
      <formula>"CUMPLE"</formula>
    </cfRule>
  </conditionalFormatting>
  <conditionalFormatting sqref="N33:N34 Q33:Q34 T33:T34 W33:W34 Z33:Z34 AC33:AC34 AF33:AF34 AI33:AI34 AL33:AL34 AO33:AO34 AR33:AR34 AU33:AU34 AX33:AX34 BA33:BA34 BD33:BD34 BG33:BG34 BJ33:BJ34 BM33:BM34 N16:N18 Q16:Q18 T16:T18 W16:W18 Z16:Z18 AC16:AC18 AF16:AF18 AI16:AI18 AL16:AL18 AO16:AO18 AR16:AR18 AU16:AU18 AX16:AX18 BA16:BA18 BD16:BD18 BG16:BG18 BJ16:BJ18 BM16:BM18 N24:N26 Q24:Q26 T24:T26 W24:W26 Z24:Z26 AC24:AC26 AF24:AF26 AI24:AI26 AL24:AL26 AO24:AO26 AR24:AR26 AU24:AU26 AX24:AX26 BA24:BA26 BD24:BD26 BG24:BG26 BJ24:BJ26 BM24:BM26">
    <cfRule type="cellIs" dxfId="61" priority="52" operator="equal">
      <formula>"NO VÁLIDA"</formula>
    </cfRule>
    <cfRule type="cellIs" dxfId="60" priority="53" operator="equal">
      <formula>"VÁLIDA"</formula>
    </cfRule>
  </conditionalFormatting>
  <conditionalFormatting sqref="N50 Q50 T50 W50 Z50 AC50 AF50 AI50 AL50 AO50 AR50 AU50 AX50 BA50 BD50 BG50 BJ50 BM50">
    <cfRule type="cellIs" dxfId="59" priority="50" operator="equal">
      <formula>"NO VÁLIDA"</formula>
    </cfRule>
    <cfRule type="cellIs" dxfId="58" priority="51" operator="equal">
      <formula>"VÁLIDA"</formula>
    </cfRule>
  </conditionalFormatting>
  <conditionalFormatting sqref="M60 P60 S60 V60 Y60 AB60 AE60 AH60 AK60 AN60 AQ60 AT60 AW60 AZ60 BC60 BF60 BI60 BL60">
    <cfRule type="cellIs" dxfId="57" priority="47" operator="equal">
      <formula>"RECHAZO"</formula>
    </cfRule>
    <cfRule type="cellIs" dxfId="56" priority="48" operator="equal">
      <formula>"NO ADMISIBLE"</formula>
    </cfRule>
    <cfRule type="cellIs" dxfId="55" priority="49" operator="notBetween">
      <formula>"RECHAZO"</formula>
      <formula>"NO ADMISIBLE"</formula>
    </cfRule>
  </conditionalFormatting>
  <conditionalFormatting sqref="N60 Q60 T60 W60 Z60 AC60 AF60 AI60 AL60 AO60 AR60 AU60 AX60 BA60 BD60 BG60 BJ60 BM60">
    <cfRule type="cellIs" dxfId="54" priority="45" operator="equal">
      <formula>"NO VÁLIDA"</formula>
    </cfRule>
    <cfRule type="cellIs" dxfId="53" priority="46" operator="equal">
      <formula>"VÁLIDA"</formula>
    </cfRule>
  </conditionalFormatting>
  <conditionalFormatting sqref="N14 Q14 T14 W14 Z14 AC14 AF14 AI14 AL14 AO14 AR14 AU14 AX14 BA14 BD14 BG14 BJ14 BM14">
    <cfRule type="cellIs" dxfId="52" priority="43" operator="equal">
      <formula>"PARA REVISIÓN"</formula>
    </cfRule>
    <cfRule type="cellIs" dxfId="51" priority="44" operator="equal">
      <formula>"CUMPLE"</formula>
    </cfRule>
  </conditionalFormatting>
  <conditionalFormatting sqref="N15 Q15 T15 W15 Z15 AC15 AF15 AI15 AL15 AO15 AR15 AU15 AX15 BA15 BD15 BG15 BJ15 BM15">
    <cfRule type="cellIs" dxfId="50" priority="41" operator="equal">
      <formula>"NO VÁLIDA"</formula>
    </cfRule>
    <cfRule type="cellIs" dxfId="49" priority="42" operator="equal">
      <formula>"VÁLIDA"</formula>
    </cfRule>
  </conditionalFormatting>
  <conditionalFormatting sqref="N19 Q19 T19 W19 Z19 AC19 AF19 AI19 AL19 AO19 AR19 AU19 AX19 BA19 BD19 BG19 BJ19 BM19">
    <cfRule type="cellIs" dxfId="48" priority="39" operator="equal">
      <formula>"PARA REVISIÓN"</formula>
    </cfRule>
    <cfRule type="cellIs" dxfId="47" priority="40" operator="equal">
      <formula>"CUMPLE"</formula>
    </cfRule>
  </conditionalFormatting>
  <conditionalFormatting sqref="N20 Q20 T20 W20 Z20 AC20 AF20 AI20 AL20 AO20 AR20 AU20 AX20 BA20 BD20 BG20 BJ20 BM20">
    <cfRule type="cellIs" dxfId="46" priority="37" operator="equal">
      <formula>"NO VÁLIDA"</formula>
    </cfRule>
    <cfRule type="cellIs" dxfId="45" priority="38" operator="equal">
      <formula>"VÁLIDA"</formula>
    </cfRule>
  </conditionalFormatting>
  <conditionalFormatting sqref="N21 Q21 T21 W21 Z21 AC21 AF21 AI21 AL21 AO21 AR21 AU21 AX21 BA21 BD21 BG21 BJ21 BM21">
    <cfRule type="cellIs" dxfId="44" priority="35" operator="equal">
      <formula>"NO VÁLIDA"</formula>
    </cfRule>
    <cfRule type="cellIs" dxfId="43" priority="36" operator="equal">
      <formula>"VÁLIDA"</formula>
    </cfRule>
  </conditionalFormatting>
  <conditionalFormatting sqref="N40 Q40 T40 W40 Z40 AC40 AF40 AI40 AL40 AO40 AR40 AU40 AX40 BA40 BD40 BG40 BJ40 BM40">
    <cfRule type="cellIs" dxfId="42" priority="33" operator="equal">
      <formula>"NO VÁLIDA"</formula>
    </cfRule>
    <cfRule type="cellIs" dxfId="41" priority="34" operator="equal">
      <formula>"VÁLIDA"</formula>
    </cfRule>
  </conditionalFormatting>
  <conditionalFormatting sqref="N23 Q23 T23 W23 Z23 AC23 AF23 AI23 AL23 AO23 AR23 AU23 AX23 BA23 BD23 BG23 BJ23 BM23">
    <cfRule type="cellIs" dxfId="40" priority="31" operator="equal">
      <formula>"NO VÁLIDA"</formula>
    </cfRule>
    <cfRule type="cellIs" dxfId="39" priority="32" operator="equal">
      <formula>"VÁLIDA"</formula>
    </cfRule>
  </conditionalFormatting>
  <conditionalFormatting sqref="N22 Q22 T22 W22 Z22 AC22 AF22 AI22 AL22 AO22 AR22 AU22 AX22 BA22 BD22 BG22 BJ22 BM22">
    <cfRule type="cellIs" dxfId="38" priority="29" operator="equal">
      <formula>"PARA REVISIÓN"</formula>
    </cfRule>
    <cfRule type="cellIs" dxfId="37" priority="30" operator="equal">
      <formula>"CUMPLE"</formula>
    </cfRule>
  </conditionalFormatting>
  <conditionalFormatting sqref="N39 Q39 T39 W39 Z39 AC39 AF39 AI39 AL39 AO39 AR39 AU39 AX39 BA39 BD39 BG39 BJ39 BM39">
    <cfRule type="cellIs" dxfId="36" priority="27" operator="equal">
      <formula>"PARA REVISIÓN"</formula>
    </cfRule>
    <cfRule type="cellIs" dxfId="35" priority="28" operator="equal">
      <formula>"CUMPLE"</formula>
    </cfRule>
  </conditionalFormatting>
  <conditionalFormatting sqref="N54 Q54 T54 W54 Z54 AC54 AF54 AI54 AL54 AO54 AR54 AU54 AX54 BA54 BD54 BG54 BJ54 BM54">
    <cfRule type="cellIs" dxfId="34" priority="25" operator="equal">
      <formula>"NO VÁLIDA"</formula>
    </cfRule>
    <cfRule type="cellIs" dxfId="33" priority="26" operator="equal">
      <formula>"VÁLIDA"</formula>
    </cfRule>
  </conditionalFormatting>
  <conditionalFormatting sqref="N28 Q28 T28 W28 Z28 AC28 AF28 AI28 AL28 AO28 AR28 AU28 AX28 BA28 BD28 BG28 BJ28 BM28">
    <cfRule type="cellIs" dxfId="32" priority="23" operator="equal">
      <formula>"NO VÁLIDA"</formula>
    </cfRule>
    <cfRule type="cellIs" dxfId="31" priority="24" operator="equal">
      <formula>"VÁLIDA"</formula>
    </cfRule>
  </conditionalFormatting>
  <conditionalFormatting sqref="N35 Q35 T35 W35 Z35 AC35 AF35 AI35 AL35 AO35 AR35 AU35 AX35 BA35 BD35 BG35 BJ35 BM35">
    <cfRule type="cellIs" dxfId="30" priority="21" operator="equal">
      <formula>"NO VÁLIDA"</formula>
    </cfRule>
    <cfRule type="cellIs" dxfId="29" priority="22" operator="equal">
      <formula>"VÁLIDA"</formula>
    </cfRule>
  </conditionalFormatting>
  <conditionalFormatting sqref="N27 Q27 T27 W27 Z27 AC27 AF27 AI27 AL27 AO27 AR27 AU27 AX27 BA27 BD27 BG27 BJ27 BM27">
    <cfRule type="cellIs" dxfId="28" priority="19" operator="equal">
      <formula>"PARA REVISIÓN"</formula>
    </cfRule>
    <cfRule type="cellIs" dxfId="27" priority="20" operator="equal">
      <formula>"CUMPLE"</formula>
    </cfRule>
  </conditionalFormatting>
  <conditionalFormatting sqref="N45 Q45 T45 W45 Z45 AC45 AF45 AI45 AL45 AO45 AR45 AU45 AX45 BA45 BD45 BG45 BJ45 BM45">
    <cfRule type="cellIs" dxfId="26" priority="17" operator="equal">
      <formula>"NO VÁLIDA"</formula>
    </cfRule>
    <cfRule type="cellIs" dxfId="25" priority="18" operator="equal">
      <formula>"VÁLIDA"</formula>
    </cfRule>
  </conditionalFormatting>
  <conditionalFormatting sqref="N46 Q46 T46 W46 Z46 AC46 AF46 AI46 AL46 AO46 AR46 AU46 AX46 BA46 BD46 BG46 BJ46 BM46">
    <cfRule type="cellIs" dxfId="24" priority="15" operator="equal">
      <formula>"NO VÁLIDA"</formula>
    </cfRule>
    <cfRule type="cellIs" dxfId="23" priority="16" operator="equal">
      <formula>"VÁLIDA"</formula>
    </cfRule>
  </conditionalFormatting>
  <conditionalFormatting sqref="N58 Q58 T58 W58 Z58 AC58 AF58 AI58 AL58 AO58 AR58 AU58 AX58 BA58 BD58 BG58 BJ58 BM58">
    <cfRule type="cellIs" dxfId="22" priority="13" operator="equal">
      <formula>"NO VÁLIDA"</formula>
    </cfRule>
    <cfRule type="cellIs" dxfId="21" priority="14" operator="equal">
      <formula>"VÁLIDA"</formula>
    </cfRule>
  </conditionalFormatting>
  <conditionalFormatting sqref="N37 Q37 T37 W37 Z37 AC37 AF37 AI37 AL37 AO37 AR37 AU37 AX37 BA37 BD37 BG37 BJ37 BM37">
    <cfRule type="cellIs" dxfId="20" priority="11" operator="equal">
      <formula>"NO VÁLIDA"</formula>
    </cfRule>
    <cfRule type="cellIs" dxfId="19" priority="12" operator="equal">
      <formula>"VÁLIDA"</formula>
    </cfRule>
  </conditionalFormatting>
  <conditionalFormatting sqref="N38 Q38 T38 W38 Z38 AC38 AF38 AI38 AL38 AO38 AR38 AU38 AX38 BA38 BD38 BG38 BJ38 BM38">
    <cfRule type="cellIs" dxfId="18" priority="9" operator="equal">
      <formula>"NO VÁLIDA"</formula>
    </cfRule>
    <cfRule type="cellIs" dxfId="17" priority="10" operator="equal">
      <formula>"VÁLIDA"</formula>
    </cfRule>
  </conditionalFormatting>
  <conditionalFormatting sqref="N36 Q36 T36 W36 Z36 AC36 AF36 AI36 AL36 AO36 AR36 AU36 AX36 BA36 BD36 BG36 BJ36 BM36">
    <cfRule type="cellIs" dxfId="16" priority="7" operator="equal">
      <formula>"PARA REVISIÓN"</formula>
    </cfRule>
    <cfRule type="cellIs" dxfId="15" priority="8" operator="equal">
      <formula>"CUMPLE"</formula>
    </cfRule>
  </conditionalFormatting>
  <conditionalFormatting sqref="N29:N32 Q29:Q32 T29:T32 W29:W32 Z29:Z32 AC29:AC32 AF29:AF32 AI29:AI32 AL29:AL32 AO29:AO32 AR29:AR32 AU29:AU32 AX29:AX32 BA29:BA32 BD29:BD32 BG29:BG32 BJ29:BJ32 BM29:BM32">
    <cfRule type="cellIs" dxfId="14" priority="5" operator="equal">
      <formula>"NO VÁLIDA"</formula>
    </cfRule>
    <cfRule type="cellIs" dxfId="13" priority="6" operator="equal">
      <formula>"VÁLIDA"</formula>
    </cfRule>
  </conditionalFormatting>
  <conditionalFormatting sqref="N41:N44 Q41:Q44 T41:T44 W41:W44 Z41:Z44 AC41:AC44 AF41:AF44 AI41:AI44 AL41:AL44 AO41:AO44 AR41:AR44 AU41:AU44 AX41:AX44 BA41:BA44 BD41:BD44 BG41:BG44 BJ41:BJ44 BM41:BM44">
    <cfRule type="cellIs" dxfId="12" priority="3" operator="equal">
      <formula>"NO VÁLIDA"</formula>
    </cfRule>
    <cfRule type="cellIs" dxfId="11" priority="4" operator="equal">
      <formula>"VÁLIDA"</formula>
    </cfRule>
  </conditionalFormatting>
  <conditionalFormatting sqref="N55:N57 Q55:Q57 T55:T57 W55:W57 Z55:Z57 AC55:AC57 AF55:AF57 AI55:AI57 AL55:AL57 AO55:AO57 AR55:AR57 AU55:AU57 AX55:AX57 BA55:BA57 BD55:BD57 BG55:BG57 BJ55:BJ57 BM55:BM57">
    <cfRule type="cellIs" dxfId="10" priority="1" operator="equal">
      <formula>"NO VÁLIDA"</formula>
    </cfRule>
    <cfRule type="cellIs" dxfId="9" priority="2" operator="equal">
      <formula>"VÁLIDA"</formula>
    </cfRule>
  </conditionalFormatting>
  <printOptions horizontalCentered="1"/>
  <pageMargins left="0.23622047244094491" right="0.23622047244094491" top="0.74803149606299213" bottom="0.74803149606299213" header="0.31496062992125984" footer="0.31496062992125984"/>
  <pageSetup scale="48" orientation="landscape" horizontalDpi="1200" verticalDpi="1200" r:id="rId1"/>
  <headerFooter alignWithMargins="0">
    <oddFooter>&amp;L&amp;9&amp;F
&amp;A&amp;C&amp;P de &amp;N&amp;R&amp;9INSTITUTO NACIONAL DE VIAS
&amp;D</oddFooter>
  </headerFooter>
  <ignoredErrors>
    <ignoredError sqref="H61:H65 I61:K6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pageSetUpPr fitToPage="1"/>
  </sheetPr>
  <dimension ref="B1:AL92"/>
  <sheetViews>
    <sheetView showGridLines="0" topLeftCell="D1" zoomScale="90" zoomScaleNormal="90" workbookViewId="0">
      <selection activeCell="E15" sqref="E15:H15"/>
    </sheetView>
  </sheetViews>
  <sheetFormatPr baseColWidth="10" defaultColWidth="11.42578125" defaultRowHeight="12.75" outlineLevelRow="1" x14ac:dyDescent="0.2"/>
  <cols>
    <col min="1" max="1" width="2.7109375" style="43" customWidth="1"/>
    <col min="2" max="3" width="8.28515625" style="43" customWidth="1"/>
    <col min="4" max="4" width="44.28515625" style="43" customWidth="1"/>
    <col min="5" max="5" width="21.5703125" style="43" customWidth="1"/>
    <col min="6" max="6" width="20.7109375" style="43" customWidth="1"/>
    <col min="7" max="7" width="15.42578125" style="43" bestFit="1" customWidth="1"/>
    <col min="8" max="8" width="28.7109375" style="45" bestFit="1" customWidth="1"/>
    <col min="9" max="9" width="13.7109375" style="41" hidden="1" customWidth="1"/>
    <col min="10" max="10" width="13.7109375" style="42" hidden="1" customWidth="1"/>
    <col min="11" max="13" width="13.7109375" style="43" hidden="1" customWidth="1"/>
    <col min="14" max="14" width="19.5703125" style="43" bestFit="1" customWidth="1"/>
    <col min="15" max="15" width="50" style="45" bestFit="1" customWidth="1"/>
    <col min="16" max="16" width="22.28515625" style="45" bestFit="1" customWidth="1"/>
    <col min="17" max="38" width="22.28515625" style="43" bestFit="1" customWidth="1"/>
    <col min="39" max="16384" width="11.42578125" style="43"/>
  </cols>
  <sheetData>
    <row r="1" spans="2:17" ht="18" x14ac:dyDescent="0.2">
      <c r="B1" s="338" t="str">
        <f>RESUMEN!B1</f>
        <v>FIDUPREVISORA</v>
      </c>
      <c r="C1" s="338"/>
      <c r="D1" s="338"/>
      <c r="E1" s="338"/>
      <c r="F1" s="338"/>
      <c r="G1" s="338"/>
      <c r="H1" s="338"/>
    </row>
    <row r="2" spans="2:17" x14ac:dyDescent="0.2">
      <c r="B2" s="323"/>
      <c r="C2" s="323"/>
      <c r="D2" s="323"/>
      <c r="E2" s="323"/>
      <c r="F2" s="323"/>
      <c r="G2" s="323"/>
      <c r="H2" s="323"/>
    </row>
    <row r="3" spans="2:17" x14ac:dyDescent="0.2">
      <c r="B3" s="323" t="str">
        <f>RESUMEN!B3</f>
        <v>PATRIMONIO AUTÓNOMO FIDEICOMISO ECOPETROL ZOMAC (en adelante PATRIMONIO AUTÓNOMO) FIDUCIARIA LA PREVISORA S.A.</v>
      </c>
      <c r="C3" s="323"/>
      <c r="D3" s="323"/>
      <c r="E3" s="323"/>
      <c r="F3" s="323"/>
      <c r="G3" s="323"/>
      <c r="H3" s="323"/>
    </row>
    <row r="4" spans="2:17" x14ac:dyDescent="0.2">
      <c r="B4" s="323"/>
      <c r="C4" s="323"/>
      <c r="D4" s="323"/>
      <c r="E4" s="323"/>
      <c r="F4" s="323"/>
      <c r="G4" s="323"/>
      <c r="H4" s="323"/>
    </row>
    <row r="5" spans="2:17" x14ac:dyDescent="0.2">
      <c r="B5" s="323" t="str">
        <f>RESUMEN!B5</f>
        <v>LICITACIÓN PRIVADA ABIERTA N° 006 DE 2018</v>
      </c>
      <c r="C5" s="323"/>
      <c r="D5" s="323"/>
      <c r="E5" s="323"/>
      <c r="F5" s="323"/>
      <c r="G5" s="323"/>
      <c r="H5" s="323"/>
    </row>
    <row r="6" spans="2:17" ht="15.75" x14ac:dyDescent="0.2">
      <c r="B6" s="49"/>
      <c r="C6" s="49"/>
      <c r="D6" s="44"/>
      <c r="E6" s="44"/>
      <c r="F6" s="44"/>
      <c r="G6" s="44"/>
      <c r="H6" s="44"/>
    </row>
    <row r="7" spans="2:17" x14ac:dyDescent="0.2">
      <c r="B7" s="323" t="str">
        <f>RESUMEN!B7</f>
        <v>PROYECTO No. 3: MEJORAMIENTO MEDIANTE LA PAVIMENTACIÓN DE LA CALLE 17 ENTRE LA VÍA NACIONAL Y LA VILLA OLÍMPICA DEL MUNICIPIO DE SAN MARTÍN, DEPARTAMENTO DEL META VINCULADOS AL CONTRIBUYENTE ECOPETROL S.A. DENTRO DEL MARCO DEL MECANISMO DE OBRAS POR IMPUESTOS</v>
      </c>
      <c r="C7" s="323"/>
      <c r="D7" s="323"/>
      <c r="E7" s="323"/>
      <c r="F7" s="323"/>
      <c r="G7" s="323"/>
      <c r="H7" s="323"/>
    </row>
    <row r="8" spans="2:17" ht="15.75" x14ac:dyDescent="0.2">
      <c r="B8" s="49"/>
      <c r="C8" s="49"/>
      <c r="D8" s="44"/>
      <c r="E8" s="44"/>
      <c r="F8" s="44"/>
      <c r="G8" s="44"/>
      <c r="H8" s="44"/>
    </row>
    <row r="9" spans="2:17" ht="15.75" customHeight="1" x14ac:dyDescent="0.2">
      <c r="B9" s="334" t="s">
        <v>21</v>
      </c>
      <c r="C9" s="334"/>
      <c r="D9" s="334"/>
      <c r="E9" s="334"/>
      <c r="F9" s="334"/>
      <c r="G9" s="334"/>
      <c r="H9" s="334"/>
    </row>
    <row r="10" spans="2:17" ht="16.5" customHeight="1" x14ac:dyDescent="0.2">
      <c r="B10" s="407" t="s">
        <v>22</v>
      </c>
      <c r="C10" s="407"/>
      <c r="D10" s="407"/>
      <c r="E10" s="407"/>
      <c r="F10" s="407"/>
      <c r="G10" s="407"/>
      <c r="H10" s="407"/>
      <c r="Q10"/>
    </row>
    <row r="11" spans="2:17" ht="16.5" thickBot="1" x14ac:dyDescent="0.25">
      <c r="B11" s="50"/>
      <c r="C11" s="50"/>
      <c r="D11" s="44"/>
      <c r="E11" s="44"/>
      <c r="F11" s="44"/>
      <c r="G11" s="44"/>
      <c r="H11" s="44"/>
    </row>
    <row r="12" spans="2:17" ht="15.75" thickBot="1" x14ac:dyDescent="0.25">
      <c r="B12" s="378" t="s">
        <v>39</v>
      </c>
      <c r="C12" s="379"/>
      <c r="D12" s="379"/>
      <c r="E12" s="379"/>
      <c r="F12" s="379"/>
      <c r="G12" s="379"/>
      <c r="H12" s="380"/>
      <c r="O12" s="269" t="s">
        <v>95</v>
      </c>
    </row>
    <row r="13" spans="2:17" ht="13.5" thickBot="1" x14ac:dyDescent="0.25">
      <c r="B13" s="86" t="s">
        <v>88</v>
      </c>
      <c r="C13" s="87"/>
      <c r="D13" s="88"/>
      <c r="E13" s="88"/>
      <c r="F13" s="88"/>
      <c r="G13" s="119" t="s">
        <v>40</v>
      </c>
      <c r="H13" s="120">
        <v>3196.3</v>
      </c>
      <c r="O13" s="193">
        <v>3</v>
      </c>
    </row>
    <row r="14" spans="2:17" ht="13.5" thickBot="1" x14ac:dyDescent="0.25">
      <c r="B14" s="89"/>
      <c r="C14" s="87"/>
      <c r="D14" s="88"/>
      <c r="E14" s="88"/>
      <c r="F14" s="88"/>
      <c r="G14" s="119" t="s">
        <v>41</v>
      </c>
      <c r="H14" s="121">
        <f>100*(H13-INT(H13))</f>
        <v>30.00000000001819</v>
      </c>
    </row>
    <row r="15" spans="2:17" ht="15.75" thickBot="1" x14ac:dyDescent="0.25">
      <c r="B15" s="90" t="s">
        <v>73</v>
      </c>
      <c r="C15" s="91"/>
      <c r="D15" s="92"/>
      <c r="E15" s="389" t="str">
        <f>IF(OR($O$13=1,$O$16="NO APLICA"),IF(AND(H14&gt;=0,H14&lt;=33),"MEDIA ARITMETICA",IF(AND(H14&gt;=34,H14&lt;=66),"MEDIA ARITMETICA ALTA",IF(AND(H14&gt;=67,H14&lt;=99),"MEDIA GEOMETRICA CON PRESUPUESTO ESTIMADO","MENOR VALOR"))),IF(O16="MEDIA ARITMÉTICA","MEDIA ARITMETICA ALTA",IF(O16="MEDIA ARITMÉTICA ALTA","MEDIA GEOMETRICA CON PRESUPUESTO ESTIMADO",IF(O16="MEDIA GEOMÉTRICA CON PRESUPUESTO ESTIMADO","MEDIA ARITMETICA"))))</f>
        <v>MEDIA GEOMETRICA CON PRESUPUESTO ESTIMADO</v>
      </c>
      <c r="F15" s="389"/>
      <c r="G15" s="389"/>
      <c r="H15" s="390"/>
      <c r="O15" s="269" t="s">
        <v>83</v>
      </c>
    </row>
    <row r="16" spans="2:17" ht="16.5" thickBot="1" x14ac:dyDescent="0.25">
      <c r="B16" s="50"/>
      <c r="C16" s="50"/>
      <c r="D16" s="44"/>
      <c r="E16" s="44"/>
      <c r="F16" s="44"/>
      <c r="G16" s="44"/>
      <c r="H16" s="44"/>
      <c r="O16" s="193" t="s">
        <v>86</v>
      </c>
    </row>
    <row r="17" spans="2:16" ht="15.6" customHeight="1" x14ac:dyDescent="0.2">
      <c r="B17" s="378" t="s">
        <v>42</v>
      </c>
      <c r="C17" s="379"/>
      <c r="D17" s="379"/>
      <c r="E17" s="379"/>
      <c r="F17" s="379"/>
      <c r="G17" s="379"/>
      <c r="H17" s="380"/>
    </row>
    <row r="18" spans="2:16" outlineLevel="1" x14ac:dyDescent="0.2">
      <c r="B18" s="89"/>
      <c r="C18" s="97"/>
      <c r="D18" s="93"/>
      <c r="E18" s="94"/>
      <c r="F18" s="94"/>
      <c r="G18" s="97" t="s">
        <v>43</v>
      </c>
      <c r="H18" s="105">
        <f>COUNT(E44:E62)</f>
        <v>11</v>
      </c>
    </row>
    <row r="19" spans="2:16" outlineLevel="1" x14ac:dyDescent="0.2">
      <c r="B19" s="98"/>
      <c r="C19" s="97"/>
      <c r="D19" s="93"/>
      <c r="E19" s="94"/>
      <c r="F19" s="94"/>
      <c r="G19" s="97" t="s">
        <v>47</v>
      </c>
      <c r="H19" s="108">
        <f>IF(H18=0,0,MIN(E44:E62))</f>
        <v>1651023429</v>
      </c>
    </row>
    <row r="20" spans="2:16" outlineLevel="1" x14ac:dyDescent="0.2">
      <c r="B20" s="98"/>
      <c r="C20" s="97"/>
      <c r="D20" s="93"/>
      <c r="E20" s="94"/>
      <c r="F20" s="94"/>
      <c r="G20" s="97" t="s">
        <v>48</v>
      </c>
      <c r="H20" s="108">
        <f>IF(H18=0,0,MAX(E44:E62))</f>
        <v>1675177935</v>
      </c>
    </row>
    <row r="21" spans="2:16" outlineLevel="1" x14ac:dyDescent="0.2">
      <c r="B21" s="89"/>
      <c r="C21" s="99"/>
      <c r="D21" s="93"/>
      <c r="E21" s="94"/>
      <c r="F21" s="94"/>
      <c r="G21" s="97" t="s">
        <v>54</v>
      </c>
      <c r="H21" s="108">
        <f>IF(H18=0,0,AVERAGE(E44:E62))</f>
        <v>1664002854.1818182</v>
      </c>
    </row>
    <row r="22" spans="2:16" outlineLevel="1" x14ac:dyDescent="0.2">
      <c r="B22" s="89"/>
      <c r="C22" s="99"/>
      <c r="D22" s="93"/>
      <c r="E22" s="94"/>
      <c r="F22" s="94"/>
      <c r="G22" s="97" t="s">
        <v>55</v>
      </c>
      <c r="H22" s="108">
        <f>IF(H18=0,0,MEDIAN(E44:E62))</f>
        <v>1666610907</v>
      </c>
    </row>
    <row r="23" spans="2:16" outlineLevel="1" x14ac:dyDescent="0.2">
      <c r="B23" s="89"/>
      <c r="C23" s="99"/>
      <c r="D23" s="93"/>
      <c r="E23" s="94"/>
      <c r="F23" s="94"/>
      <c r="G23" s="97" t="s">
        <v>56</v>
      </c>
      <c r="H23" s="108">
        <f>IF(OR(H18=0,H18=1),0,STDEV(E44:E62))</f>
        <v>8553218.601040896</v>
      </c>
    </row>
    <row r="24" spans="2:16" outlineLevel="1" x14ac:dyDescent="0.2">
      <c r="B24" s="100"/>
      <c r="C24" s="101"/>
      <c r="D24" s="93"/>
      <c r="E24" s="94"/>
      <c r="F24" s="94"/>
      <c r="G24" s="97" t="s">
        <v>57</v>
      </c>
      <c r="H24" s="108">
        <f>'VR-PROP'!$H$60</f>
        <v>1686541023</v>
      </c>
    </row>
    <row r="25" spans="2:16" ht="13.5" outlineLevel="1" thickBot="1" x14ac:dyDescent="0.25">
      <c r="B25" s="102"/>
      <c r="C25" s="103"/>
      <c r="D25" s="95"/>
      <c r="E25" s="96"/>
      <c r="F25" s="96"/>
      <c r="G25" s="104" t="s">
        <v>44</v>
      </c>
      <c r="H25" s="106">
        <v>900</v>
      </c>
    </row>
    <row r="26" spans="2:16" customFormat="1" ht="13.5" outlineLevel="1" thickBot="1" x14ac:dyDescent="0.25">
      <c r="O26" s="190"/>
      <c r="P26" s="190"/>
    </row>
    <row r="27" spans="2:16" ht="16.149999999999999" customHeight="1" outlineLevel="1" x14ac:dyDescent="0.2">
      <c r="B27" s="398" t="s">
        <v>58</v>
      </c>
      <c r="C27" s="399"/>
      <c r="D27" s="399"/>
      <c r="E27" s="399"/>
      <c r="F27" s="399"/>
      <c r="G27" s="399"/>
      <c r="H27" s="400"/>
    </row>
    <row r="28" spans="2:16" outlineLevel="1" x14ac:dyDescent="0.2">
      <c r="B28" s="381" t="s">
        <v>45</v>
      </c>
      <c r="C28" s="382"/>
      <c r="D28" s="382"/>
      <c r="E28" s="382"/>
      <c r="F28" s="382"/>
      <c r="G28" s="383"/>
      <c r="H28" s="107">
        <f>H21</f>
        <v>1664002854.1818182</v>
      </c>
    </row>
    <row r="29" spans="2:16" ht="15" outlineLevel="1" x14ac:dyDescent="0.2">
      <c r="B29" s="401" t="s">
        <v>59</v>
      </c>
      <c r="C29" s="402"/>
      <c r="D29" s="402"/>
      <c r="E29" s="402"/>
      <c r="F29" s="402"/>
      <c r="G29" s="402"/>
      <c r="H29" s="403"/>
    </row>
    <row r="30" spans="2:16" outlineLevel="1" x14ac:dyDescent="0.2">
      <c r="B30" s="381" t="s">
        <v>46</v>
      </c>
      <c r="C30" s="382"/>
      <c r="D30" s="382"/>
      <c r="E30" s="382"/>
      <c r="F30" s="382"/>
      <c r="G30" s="383"/>
      <c r="H30" s="107">
        <f>AVERAGE(H20,H21)</f>
        <v>1669590394.590909</v>
      </c>
    </row>
    <row r="31" spans="2:16" ht="15" outlineLevel="1" x14ac:dyDescent="0.2">
      <c r="B31" s="401" t="s">
        <v>99</v>
      </c>
      <c r="C31" s="402"/>
      <c r="D31" s="402"/>
      <c r="E31" s="402"/>
      <c r="F31" s="402"/>
      <c r="G31" s="402"/>
      <c r="H31" s="403"/>
    </row>
    <row r="32" spans="2:16" outlineLevel="1" x14ac:dyDescent="0.2">
      <c r="B32" s="381" t="s">
        <v>100</v>
      </c>
      <c r="C32" s="382"/>
      <c r="D32" s="382"/>
      <c r="E32" s="382"/>
      <c r="F32" s="382"/>
      <c r="G32" s="383"/>
      <c r="H32" s="107">
        <f>IF(H18=0,0,ROUNDUP(H18/3,0))</f>
        <v>4</v>
      </c>
    </row>
    <row r="33" spans="2:34" ht="13.5" hidden="1" outlineLevel="1" x14ac:dyDescent="0.2">
      <c r="B33" s="381" t="s">
        <v>74</v>
      </c>
      <c r="C33" s="382"/>
      <c r="D33" s="382"/>
      <c r="E33" s="382"/>
      <c r="F33" s="382"/>
      <c r="G33" s="383"/>
      <c r="H33" s="109">
        <f>IF(H18=0,0,PRODUCT(F44:F62))</f>
        <v>270.79289568712892</v>
      </c>
      <c r="I33" s="149"/>
    </row>
    <row r="34" spans="2:34" ht="13.5" hidden="1" outlineLevel="1" x14ac:dyDescent="0.2">
      <c r="B34" s="381" t="s">
        <v>75</v>
      </c>
      <c r="C34" s="382"/>
      <c r="D34" s="382"/>
      <c r="E34" s="382"/>
      <c r="F34" s="382"/>
      <c r="G34" s="383"/>
      <c r="H34" s="109">
        <f>POWER(H24/1000000000,H32)</f>
        <v>8.0907286763486965</v>
      </c>
      <c r="I34" s="149"/>
    </row>
    <row r="35" spans="2:34" ht="13.15" customHeight="1" outlineLevel="1" thickBot="1" x14ac:dyDescent="0.25">
      <c r="B35" s="386" t="s">
        <v>101</v>
      </c>
      <c r="C35" s="387"/>
      <c r="D35" s="387"/>
      <c r="E35" s="387"/>
      <c r="F35" s="387"/>
      <c r="G35" s="388"/>
      <c r="H35" s="110">
        <f>IF(H18=0,0,1000000000*POWER(H33*H34,1/(H18+H32)))</f>
        <v>1669968683.1156864</v>
      </c>
      <c r="I35" s="150"/>
    </row>
    <row r="36" spans="2:34" outlineLevel="1" x14ac:dyDescent="0.2">
      <c r="B36" s="122"/>
      <c r="C36" s="122"/>
      <c r="D36" s="122"/>
      <c r="E36" s="122"/>
      <c r="F36" s="122"/>
      <c r="G36" s="122"/>
      <c r="H36" s="123"/>
      <c r="I36"/>
    </row>
    <row r="37" spans="2:34" ht="16.5" outlineLevel="1" thickBot="1" x14ac:dyDescent="0.3">
      <c r="B37" s="82"/>
      <c r="C37" s="82"/>
      <c r="D37" s="82"/>
      <c r="E37" s="83"/>
      <c r="F37" s="83"/>
      <c r="G37" s="44"/>
      <c r="H37" s="44"/>
      <c r="I37"/>
    </row>
    <row r="38" spans="2:34" s="42" customFormat="1" ht="40.5" customHeight="1" thickBot="1" x14ac:dyDescent="0.25">
      <c r="B38" s="384" t="s">
        <v>60</v>
      </c>
      <c r="C38" s="385"/>
      <c r="D38" s="385"/>
      <c r="E38" s="404" t="str">
        <f>E15</f>
        <v>MEDIA GEOMETRICA CON PRESUPUESTO ESTIMADO</v>
      </c>
      <c r="F38" s="404"/>
      <c r="G38" s="404"/>
      <c r="H38" s="273">
        <f>IF(E38="MEDIA ARITMETICA",H28,IF(E38="MEDIA ARITMETICA ALTA",H30,IF(E38="MEDIA GEOMETRICA CON PRESUPUESTO ESTIMADO",H35,IF(E38="MENOR VALOR",#REF!,""))))</f>
        <v>1669968683.1156864</v>
      </c>
      <c r="I38" s="148"/>
      <c r="O38" s="191"/>
      <c r="P38" s="191"/>
    </row>
    <row r="39" spans="2:34" ht="15.75" x14ac:dyDescent="0.25">
      <c r="B39" s="82"/>
      <c r="C39" s="82"/>
      <c r="D39" s="82"/>
      <c r="E39" s="83"/>
      <c r="F39" s="83"/>
      <c r="G39" s="44"/>
      <c r="H39" s="44"/>
      <c r="I39"/>
    </row>
    <row r="40" spans="2:34" ht="16.5" thickBot="1" x14ac:dyDescent="0.25">
      <c r="B40" s="50"/>
      <c r="C40" s="50"/>
      <c r="D40" s="44"/>
      <c r="E40" s="44"/>
      <c r="F40" s="44"/>
      <c r="G40" s="44"/>
      <c r="H40" s="44"/>
    </row>
    <row r="41" spans="2:34" ht="15" x14ac:dyDescent="0.2">
      <c r="B41" s="391" t="s">
        <v>62</v>
      </c>
      <c r="C41" s="392"/>
      <c r="D41" s="392"/>
      <c r="E41" s="392"/>
      <c r="F41" s="392"/>
      <c r="G41" s="392"/>
      <c r="H41" s="393"/>
    </row>
    <row r="42" spans="2:34" ht="60" outlineLevel="1" x14ac:dyDescent="0.2">
      <c r="B42" s="370" t="s">
        <v>35</v>
      </c>
      <c r="C42" s="372" t="s">
        <v>10</v>
      </c>
      <c r="D42" s="374" t="s">
        <v>5</v>
      </c>
      <c r="E42" s="274" t="s">
        <v>96</v>
      </c>
      <c r="F42" s="274" t="s">
        <v>23</v>
      </c>
      <c r="G42" s="274" t="s">
        <v>25</v>
      </c>
      <c r="H42" s="275" t="s">
        <v>4</v>
      </c>
      <c r="I42" s="405" t="s">
        <v>53</v>
      </c>
      <c r="J42" s="396" t="s">
        <v>49</v>
      </c>
      <c r="K42" s="396" t="s">
        <v>50</v>
      </c>
      <c r="L42" s="396" t="s">
        <v>51</v>
      </c>
      <c r="M42" s="396" t="s">
        <v>52</v>
      </c>
      <c r="AE42" s="43" t="str">
        <f>UPPER(Q42)</f>
        <v/>
      </c>
      <c r="AF42" s="43" t="str">
        <f>UPPER(R42)</f>
        <v/>
      </c>
      <c r="AG42" s="43" t="str">
        <f>UPPER(S42)</f>
        <v/>
      </c>
      <c r="AH42" s="43" t="str">
        <f>UPPER(T42)</f>
        <v/>
      </c>
    </row>
    <row r="43" spans="2:34" ht="22.5" customHeight="1" outlineLevel="1" thickBot="1" x14ac:dyDescent="0.25">
      <c r="B43" s="371"/>
      <c r="C43" s="373"/>
      <c r="D43" s="375"/>
      <c r="E43" s="276" t="s">
        <v>24</v>
      </c>
      <c r="F43" s="276" t="s">
        <v>76</v>
      </c>
      <c r="G43" s="276" t="s">
        <v>12</v>
      </c>
      <c r="H43" s="277" t="s">
        <v>61</v>
      </c>
      <c r="I43" s="406"/>
      <c r="J43" s="397"/>
      <c r="K43" s="397"/>
      <c r="L43" s="397"/>
      <c r="M43" s="397"/>
    </row>
    <row r="44" spans="2:34" ht="26.25" customHeight="1" outlineLevel="1" x14ac:dyDescent="0.2">
      <c r="B44" s="171">
        <v>1</v>
      </c>
      <c r="C44" s="172">
        <f>RESUMEN!C15</f>
        <v>2</v>
      </c>
      <c r="D44" s="173" t="str">
        <f>VLOOKUP(C44,RESUMEN!$C$15:$D$33,2,0)</f>
        <v>CONSORCIO VÍAS SAN MARTIN</v>
      </c>
      <c r="E44" s="174">
        <f>IF(ISTEXT('VR-PROP'!$J$60),"DESCARTADO",'VR-PROP'!$J$60)</f>
        <v>1670322329</v>
      </c>
      <c r="F44" s="175">
        <f>IF(ISTEXT(E44),"",E44/1000000000)</f>
        <v>1.670322329</v>
      </c>
      <c r="G44" s="217">
        <f>IF(E44="DESCARTADO","DESCARTADO",(E44/$H$24)-1)</f>
        <v>-9.6165428405354803E-3</v>
      </c>
      <c r="H44" s="196">
        <f>IF(E44="DESCARTADO","DESCARTADO",IF(E44&lt;=$H$38,$H$25*(1-($H$38-E44)/$H$38),$H$25*(1-2*ABS($H$38-E44)/$H$38)))</f>
        <v>899.61881764718078</v>
      </c>
      <c r="I44" s="84">
        <f t="shared" ref="I44:I60" si="0">IF(ISTEXT(E44),"",E44/$H$24)</f>
        <v>0.99038345715946452</v>
      </c>
      <c r="J44" s="85">
        <f t="shared" ref="J44:J60" si="1">IF(ISTEXT(E44),"",E44/$H$28)</f>
        <v>1.0037977547948913</v>
      </c>
      <c r="K44" s="85">
        <f t="shared" ref="K44:K60" si="2">IF(ISTEXT(E44),"",E44/$H$30)</f>
        <v>1.0004383916027921</v>
      </c>
      <c r="L44" s="85">
        <f>IF(ISTEXT(E44),"",E44/$H$35)</f>
        <v>1.0002117679737885</v>
      </c>
      <c r="M44" s="85" t="e">
        <f>IF(ISTEXT(E44),"",E44/#REF!)</f>
        <v>#REF!</v>
      </c>
      <c r="N44" s="231">
        <f t="shared" ref="N44:N62" si="3">IF(E44="DESCARTADO","",COUNTIF($E$44:$E$62,E44))</f>
        <v>1</v>
      </c>
      <c r="O44" s="232">
        <f>IF(E44="DESCARTADO","",ABS(E44-E45))</f>
        <v>18452556</v>
      </c>
      <c r="P44" s="215"/>
    </row>
    <row r="45" spans="2:34" ht="26.25" customHeight="1" outlineLevel="1" x14ac:dyDescent="0.2">
      <c r="B45" s="176">
        <v>2</v>
      </c>
      <c r="C45" s="177">
        <f>RESUMEN!C16</f>
        <v>6</v>
      </c>
      <c r="D45" s="178" t="str">
        <f>VLOOKUP(C45,RESUMEN!$C$15:$D$33,2,0)</f>
        <v>INGECON SA</v>
      </c>
      <c r="E45" s="179">
        <f>IF(ISTEXT('VR-PROP'!$M$60),"DESCARTADO",'VR-PROP'!$M$60)</f>
        <v>1651869773</v>
      </c>
      <c r="F45" s="180">
        <f t="shared" ref="F45:F62" si="4">IF(ISTEXT(E45),"",E45/1000000000)</f>
        <v>1.651869773</v>
      </c>
      <c r="G45" s="218">
        <f t="shared" ref="G45:G62" si="5">IF(E45="DESCARTADO","DESCARTADO",(E45/$H$24)-1)</f>
        <v>-2.055760845848098E-2</v>
      </c>
      <c r="H45" s="196">
        <f t="shared" ref="H45:H62" si="6">IF(E45="DESCARTADO","DESCARTADO",IF(E45&lt;=$H$38,$H$25*(1-($H$38-E45)/$H$38),$H$25*(1-2*ABS($H$38-E45)/$H$38)))</f>
        <v>890.24591343010866</v>
      </c>
      <c r="I45" s="84">
        <f t="shared" si="0"/>
        <v>0.97944239154151902</v>
      </c>
      <c r="J45" s="85">
        <f t="shared" si="1"/>
        <v>0.99270849737347111</v>
      </c>
      <c r="K45" s="85">
        <f t="shared" si="2"/>
        <v>0.98938624608268011</v>
      </c>
      <c r="L45" s="85">
        <f t="shared" ref="L45:L60" si="7">IF(ISTEXT(E45),"",E45/$H$35)</f>
        <v>0.9891621260334541</v>
      </c>
      <c r="M45" s="85" t="e">
        <f>IF(ISTEXT(E45),"",E45/#REF!)</f>
        <v>#REF!</v>
      </c>
      <c r="N45" s="231">
        <f t="shared" si="3"/>
        <v>1</v>
      </c>
      <c r="O45" s="232" t="e">
        <f t="shared" ref="O45:O61" si="8">IF(E45="DESCARTADO","",ABS(E45-E46))</f>
        <v>#VALUE!</v>
      </c>
      <c r="P45" s="215"/>
    </row>
    <row r="46" spans="2:34" ht="26.25" customHeight="1" outlineLevel="1" x14ac:dyDescent="0.2">
      <c r="B46" s="176">
        <v>3</v>
      </c>
      <c r="C46" s="177">
        <f>RESUMEN!C17</f>
        <v>8</v>
      </c>
      <c r="D46" s="178" t="str">
        <f>VLOOKUP(C46,RESUMEN!$C$15:$D$33,2,0)</f>
        <v>CONSORCIO VÍAS PG</v>
      </c>
      <c r="E46" s="179" t="str">
        <f>IF(ISTEXT('VR-PROP'!$P$60),"DESCARTADO",'VR-PROP'!$P$60)</f>
        <v>DESCARTADO</v>
      </c>
      <c r="F46" s="180" t="str">
        <f t="shared" si="4"/>
        <v/>
      </c>
      <c r="G46" s="218" t="str">
        <f t="shared" si="5"/>
        <v>DESCARTADO</v>
      </c>
      <c r="H46" s="196" t="str">
        <f t="shared" si="6"/>
        <v>DESCARTADO</v>
      </c>
      <c r="I46" s="84" t="str">
        <f t="shared" si="0"/>
        <v/>
      </c>
      <c r="J46" s="85" t="str">
        <f t="shared" si="1"/>
        <v/>
      </c>
      <c r="K46" s="85" t="str">
        <f t="shared" si="2"/>
        <v/>
      </c>
      <c r="L46" s="85" t="str">
        <f t="shared" si="7"/>
        <v/>
      </c>
      <c r="M46" s="85" t="str">
        <f>IF(ISTEXT(E46),"",E46/#REF!)</f>
        <v/>
      </c>
      <c r="N46" s="231" t="str">
        <f t="shared" si="3"/>
        <v/>
      </c>
      <c r="O46" s="232" t="str">
        <f t="shared" si="8"/>
        <v/>
      </c>
      <c r="P46" s="215"/>
    </row>
    <row r="47" spans="2:34" ht="26.25" customHeight="1" outlineLevel="1" x14ac:dyDescent="0.2">
      <c r="B47" s="176">
        <v>4</v>
      </c>
      <c r="C47" s="177">
        <f>RESUMEN!C18</f>
        <v>9</v>
      </c>
      <c r="D47" s="178" t="str">
        <f>VLOOKUP(C47,RESUMEN!$C$15:$D$33,2,0)</f>
        <v>CONSORCIO VÍAS 2019</v>
      </c>
      <c r="E47" s="179">
        <f>IF(ISTEXT('VR-PROP'!$S$60),"DESCARTADO",'VR-PROP'!$S$60)</f>
        <v>1670144084</v>
      </c>
      <c r="F47" s="180">
        <f t="shared" si="4"/>
        <v>1.6701440839999999</v>
      </c>
      <c r="G47" s="218">
        <f t="shared" si="5"/>
        <v>-9.7222295671369752E-3</v>
      </c>
      <c r="H47" s="196">
        <f t="shared" si="6"/>
        <v>899.81094160929092</v>
      </c>
      <c r="I47" s="84">
        <f t="shared" si="0"/>
        <v>0.99027777043286302</v>
      </c>
      <c r="J47" s="85">
        <f t="shared" si="1"/>
        <v>1.0036906365892031</v>
      </c>
      <c r="K47" s="85">
        <f t="shared" si="2"/>
        <v>1.0003316318846136</v>
      </c>
      <c r="L47" s="85">
        <f t="shared" si="7"/>
        <v>1.0001050324392828</v>
      </c>
      <c r="M47" s="85" t="e">
        <f>IF(ISTEXT(E47),"",E47/#REF!)</f>
        <v>#REF!</v>
      </c>
      <c r="N47" s="231">
        <f t="shared" si="3"/>
        <v>1</v>
      </c>
      <c r="O47" s="232" t="e">
        <f t="shared" si="8"/>
        <v>#VALUE!</v>
      </c>
      <c r="P47" s="215"/>
    </row>
    <row r="48" spans="2:34" ht="26.25" customHeight="1" outlineLevel="1" x14ac:dyDescent="0.2">
      <c r="B48" s="176">
        <v>5</v>
      </c>
      <c r="C48" s="177">
        <f>RESUMEN!C19</f>
        <v>10</v>
      </c>
      <c r="D48" s="178" t="str">
        <f>VLOOKUP(C48,RESUMEN!$C$15:$D$33,2,0)</f>
        <v xml:space="preserve">CONSORCIO PUERTA DEL SOL </v>
      </c>
      <c r="E48" s="179" t="str">
        <f>IF(ISTEXT('VR-PROP'!$V$60),"DESCARTADO",'VR-PROP'!$V$60)</f>
        <v>DESCARTADO</v>
      </c>
      <c r="F48" s="180" t="str">
        <f t="shared" si="4"/>
        <v/>
      </c>
      <c r="G48" s="218" t="str">
        <f t="shared" si="5"/>
        <v>DESCARTADO</v>
      </c>
      <c r="H48" s="196" t="str">
        <f t="shared" si="6"/>
        <v>DESCARTADO</v>
      </c>
      <c r="I48" s="84" t="str">
        <f t="shared" si="0"/>
        <v/>
      </c>
      <c r="J48" s="85" t="str">
        <f t="shared" si="1"/>
        <v/>
      </c>
      <c r="K48" s="85" t="str">
        <f t="shared" si="2"/>
        <v/>
      </c>
      <c r="L48" s="85" t="str">
        <f t="shared" si="7"/>
        <v/>
      </c>
      <c r="M48" s="85" t="str">
        <f>IF(ISTEXT(E48),"",E48/#REF!)</f>
        <v/>
      </c>
      <c r="N48" s="231" t="str">
        <f t="shared" si="3"/>
        <v/>
      </c>
      <c r="O48" s="232" t="str">
        <f t="shared" si="8"/>
        <v/>
      </c>
      <c r="P48" s="215"/>
    </row>
    <row r="49" spans="2:16" ht="26.25" customHeight="1" outlineLevel="1" x14ac:dyDescent="0.2">
      <c r="B49" s="176">
        <v>6</v>
      </c>
      <c r="C49" s="177">
        <f>RESUMEN!C20</f>
        <v>11</v>
      </c>
      <c r="D49" s="178" t="str">
        <f>VLOOKUP(C49,RESUMEN!$C$15:$D$33,2,0)</f>
        <v>CONSORCIO VIAL</v>
      </c>
      <c r="E49" s="179">
        <f>IF(ISTEXT('VR-PROP'!$Y$60),"DESCARTADO",'VR-PROP'!$Y$60)</f>
        <v>1665451764</v>
      </c>
      <c r="F49" s="180">
        <f t="shared" si="4"/>
        <v>1.6654517639999999</v>
      </c>
      <c r="G49" s="218">
        <f t="shared" si="5"/>
        <v>-1.2504444725860653E-2</v>
      </c>
      <c r="H49" s="196">
        <f t="shared" si="6"/>
        <v>897.56568656333536</v>
      </c>
      <c r="I49" s="84">
        <f t="shared" si="0"/>
        <v>0.98749555527413935</v>
      </c>
      <c r="J49" s="85">
        <f t="shared" si="1"/>
        <v>1.0008707375798909</v>
      </c>
      <c r="K49" s="85">
        <f t="shared" si="2"/>
        <v>0.99752117009997354</v>
      </c>
      <c r="L49" s="85">
        <f t="shared" si="7"/>
        <v>0.9972952072925948</v>
      </c>
      <c r="M49" s="85" t="e">
        <f>IF(ISTEXT(E49),"",E49/#REF!)</f>
        <v>#REF!</v>
      </c>
      <c r="N49" s="231">
        <f t="shared" si="3"/>
        <v>1</v>
      </c>
      <c r="O49" s="232">
        <f t="shared" si="8"/>
        <v>9726171</v>
      </c>
      <c r="P49" s="215"/>
    </row>
    <row r="50" spans="2:16" ht="26.25" customHeight="1" outlineLevel="1" x14ac:dyDescent="0.2">
      <c r="B50" s="176">
        <v>7</v>
      </c>
      <c r="C50" s="177">
        <f>RESUMEN!C21</f>
        <v>14</v>
      </c>
      <c r="D50" s="178" t="str">
        <f>VLOOKUP(C50,RESUMEN!$C$15:$D$33,2,0)</f>
        <v>CONSORCIO RENOVACION URBANA</v>
      </c>
      <c r="E50" s="179">
        <f>IF(ISTEXT('VR-PROP'!$AB$60),"DESCARTADO",'VR-PROP'!$AB$60)</f>
        <v>1675177935</v>
      </c>
      <c r="F50" s="180">
        <f t="shared" si="4"/>
        <v>1.675177935</v>
      </c>
      <c r="G50" s="218">
        <f t="shared" si="5"/>
        <v>-6.7375105882615527E-3</v>
      </c>
      <c r="H50" s="196">
        <f t="shared" si="6"/>
        <v>894.38513219644915</v>
      </c>
      <c r="I50" s="84">
        <f t="shared" si="0"/>
        <v>0.99326248941173845</v>
      </c>
      <c r="J50" s="85">
        <f t="shared" si="1"/>
        <v>1.0067157822416575</v>
      </c>
      <c r="K50" s="85">
        <f t="shared" si="2"/>
        <v>1.0033466534230153</v>
      </c>
      <c r="L50" s="85">
        <f t="shared" si="7"/>
        <v>1.0031193710019728</v>
      </c>
      <c r="M50" s="85" t="e">
        <f>IF(ISTEXT(E50),"",E50/#REF!)</f>
        <v>#REF!</v>
      </c>
      <c r="N50" s="231">
        <f t="shared" si="3"/>
        <v>1</v>
      </c>
      <c r="O50" s="232" t="e">
        <f t="shared" si="8"/>
        <v>#VALUE!</v>
      </c>
      <c r="P50" s="215"/>
    </row>
    <row r="51" spans="2:16" ht="26.25" customHeight="1" outlineLevel="1" x14ac:dyDescent="0.2">
      <c r="B51" s="176">
        <v>8</v>
      </c>
      <c r="C51" s="177">
        <f>RESUMEN!C22</f>
        <v>15</v>
      </c>
      <c r="D51" s="178" t="str">
        <f>VLOOKUP(C51,RESUMEN!$C$15:$D$33,2,0)</f>
        <v>CONSORCIO MEJORAMIENTO VIAL 2019</v>
      </c>
      <c r="E51" s="179" t="str">
        <f>IF(ISTEXT('VR-PROP'!$AE$60),"DESCARTADO",'VR-PROP'!$AE$60)</f>
        <v>DESCARTADO</v>
      </c>
      <c r="F51" s="180" t="str">
        <f t="shared" si="4"/>
        <v/>
      </c>
      <c r="G51" s="218" t="str">
        <f t="shared" si="5"/>
        <v>DESCARTADO</v>
      </c>
      <c r="H51" s="196" t="str">
        <f t="shared" si="6"/>
        <v>DESCARTADO</v>
      </c>
      <c r="I51" s="84" t="str">
        <f t="shared" si="0"/>
        <v/>
      </c>
      <c r="J51" s="85" t="str">
        <f t="shared" si="1"/>
        <v/>
      </c>
      <c r="K51" s="85" t="str">
        <f t="shared" si="2"/>
        <v/>
      </c>
      <c r="L51" s="85" t="str">
        <f t="shared" si="7"/>
        <v/>
      </c>
      <c r="M51" s="85" t="str">
        <f>IF(ISTEXT(E51),"",E51/#REF!)</f>
        <v/>
      </c>
      <c r="N51" s="231" t="str">
        <f t="shared" si="3"/>
        <v/>
      </c>
      <c r="O51" s="232" t="str">
        <f t="shared" si="8"/>
        <v/>
      </c>
      <c r="P51" s="215"/>
    </row>
    <row r="52" spans="2:16" ht="26.25" customHeight="1" outlineLevel="1" x14ac:dyDescent="0.2">
      <c r="B52" s="176">
        <v>9</v>
      </c>
      <c r="C52" s="177">
        <f>RESUMEN!C23</f>
        <v>16</v>
      </c>
      <c r="D52" s="178" t="str">
        <f>VLOOKUP(C52,RESUMEN!$C$15:$D$33,2,0)</f>
        <v>INGENIERIA DE PROYECTOS AML SA.S</v>
      </c>
      <c r="E52" s="179">
        <f>IF(ISTEXT('VR-PROP'!$AH$60),"DESCARTADO",'VR-PROP'!$AH$60)</f>
        <v>1661242547</v>
      </c>
      <c r="F52" s="180">
        <f t="shared" si="4"/>
        <v>1.6612425470000001</v>
      </c>
      <c r="G52" s="218">
        <f t="shared" si="5"/>
        <v>-1.5000213843004762E-2</v>
      </c>
      <c r="H52" s="196">
        <f t="shared" si="6"/>
        <v>895.29720372392535</v>
      </c>
      <c r="I52" s="84">
        <f t="shared" si="0"/>
        <v>0.98499978615699524</v>
      </c>
      <c r="J52" s="85">
        <f t="shared" si="1"/>
        <v>0.99834116439471166</v>
      </c>
      <c r="K52" s="85">
        <f t="shared" si="2"/>
        <v>0.9950000625195532</v>
      </c>
      <c r="L52" s="85">
        <f t="shared" si="7"/>
        <v>0.99477467080436144</v>
      </c>
      <c r="M52" s="85" t="e">
        <f>IF(ISTEXT(E52),"",E52/#REF!)</f>
        <v>#REF!</v>
      </c>
      <c r="N52" s="231">
        <f t="shared" si="3"/>
        <v>1</v>
      </c>
      <c r="O52" s="232" t="e">
        <f t="shared" si="8"/>
        <v>#VALUE!</v>
      </c>
      <c r="P52" s="215"/>
    </row>
    <row r="53" spans="2:16" ht="26.25" customHeight="1" outlineLevel="1" x14ac:dyDescent="0.2">
      <c r="B53" s="176">
        <v>10</v>
      </c>
      <c r="C53" s="177">
        <f>RESUMEN!C24</f>
        <v>17</v>
      </c>
      <c r="D53" s="178" t="str">
        <f>VLOOKUP(C53,RESUMEN!$C$15:$D$33,2,0)</f>
        <v>U.T SERVICIOS E INGENIERIA COROCORO</v>
      </c>
      <c r="E53" s="179" t="str">
        <f>IF(ISTEXT('VR-PROP'!$AK$60),"DESCARTADO",'VR-PROP'!$AK$60)</f>
        <v>DESCARTADO</v>
      </c>
      <c r="F53" s="180" t="str">
        <f t="shared" si="4"/>
        <v/>
      </c>
      <c r="G53" s="218" t="str">
        <f t="shared" si="5"/>
        <v>DESCARTADO</v>
      </c>
      <c r="H53" s="196" t="str">
        <f t="shared" si="6"/>
        <v>DESCARTADO</v>
      </c>
      <c r="I53" s="84" t="str">
        <f t="shared" si="0"/>
        <v/>
      </c>
      <c r="J53" s="85" t="str">
        <f t="shared" si="1"/>
        <v/>
      </c>
      <c r="K53" s="85" t="str">
        <f t="shared" si="2"/>
        <v/>
      </c>
      <c r="L53" s="85" t="str">
        <f t="shared" si="7"/>
        <v/>
      </c>
      <c r="M53" s="85" t="str">
        <f>IF(ISTEXT(E53),"",E53/#REF!)</f>
        <v/>
      </c>
      <c r="N53" s="231" t="str">
        <f t="shared" si="3"/>
        <v/>
      </c>
      <c r="O53" s="232" t="str">
        <f t="shared" si="8"/>
        <v/>
      </c>
      <c r="P53" s="215"/>
    </row>
    <row r="54" spans="2:16" ht="26.25" customHeight="1" outlineLevel="1" x14ac:dyDescent="0.2">
      <c r="B54" s="176">
        <v>11</v>
      </c>
      <c r="C54" s="177">
        <f>RESUMEN!C25</f>
        <v>18</v>
      </c>
      <c r="D54" s="178" t="str">
        <f>VLOOKUP(C54,RESUMEN!$C$15:$D$33,2,0)</f>
        <v>CONSORCIO VIAL ARAUCA</v>
      </c>
      <c r="E54" s="179" t="str">
        <f>IF(ISTEXT('VR-PROP'!$AN$60),"DESCARTADO",'VR-PROP'!$AN$60)</f>
        <v>DESCARTADO</v>
      </c>
      <c r="F54" s="180" t="str">
        <f t="shared" si="4"/>
        <v/>
      </c>
      <c r="G54" s="218" t="str">
        <f t="shared" si="5"/>
        <v>DESCARTADO</v>
      </c>
      <c r="H54" s="196" t="str">
        <f t="shared" si="6"/>
        <v>DESCARTADO</v>
      </c>
      <c r="I54" s="84" t="str">
        <f t="shared" si="0"/>
        <v/>
      </c>
      <c r="J54" s="85" t="str">
        <f t="shared" si="1"/>
        <v/>
      </c>
      <c r="K54" s="85" t="str">
        <f t="shared" si="2"/>
        <v/>
      </c>
      <c r="L54" s="85" t="str">
        <f t="shared" si="7"/>
        <v/>
      </c>
      <c r="M54" s="85" t="str">
        <f>IF(ISTEXT(E54),"",E54/#REF!)</f>
        <v/>
      </c>
      <c r="N54" s="231" t="str">
        <f t="shared" si="3"/>
        <v/>
      </c>
      <c r="O54" s="232" t="str">
        <f t="shared" si="8"/>
        <v/>
      </c>
      <c r="P54" s="215"/>
    </row>
    <row r="55" spans="2:16" ht="26.25" customHeight="1" outlineLevel="1" x14ac:dyDescent="0.2">
      <c r="B55" s="176">
        <v>12</v>
      </c>
      <c r="C55" s="177">
        <f>RESUMEN!C26</f>
        <v>19</v>
      </c>
      <c r="D55" s="178" t="str">
        <f>VLOOKUP(C55,RESUMEN!$C$15:$D$33,2,0)</f>
        <v>CONSORCIO A&amp;C</v>
      </c>
      <c r="E55" s="179" t="str">
        <f>IF(ISTEXT('VR-PROP'!$AQ$60),"DESCARTADO",'VR-PROP'!$AQ$60)</f>
        <v>DESCARTADO</v>
      </c>
      <c r="F55" s="180" t="str">
        <f t="shared" si="4"/>
        <v/>
      </c>
      <c r="G55" s="218" t="str">
        <f t="shared" si="5"/>
        <v>DESCARTADO</v>
      </c>
      <c r="H55" s="196" t="str">
        <f t="shared" si="6"/>
        <v>DESCARTADO</v>
      </c>
      <c r="I55" s="84" t="str">
        <f t="shared" si="0"/>
        <v/>
      </c>
      <c r="J55" s="85" t="str">
        <f t="shared" si="1"/>
        <v/>
      </c>
      <c r="K55" s="85" t="str">
        <f t="shared" si="2"/>
        <v/>
      </c>
      <c r="L55" s="85" t="str">
        <f t="shared" si="7"/>
        <v/>
      </c>
      <c r="M55" s="85" t="str">
        <f>IF(ISTEXT(E55),"",E55/#REF!)</f>
        <v/>
      </c>
      <c r="N55" s="231" t="str">
        <f t="shared" si="3"/>
        <v/>
      </c>
      <c r="O55" s="232" t="str">
        <f t="shared" si="8"/>
        <v/>
      </c>
      <c r="P55" s="215"/>
    </row>
    <row r="56" spans="2:16" ht="26.25" customHeight="1" outlineLevel="1" x14ac:dyDescent="0.2">
      <c r="B56" s="176">
        <v>13</v>
      </c>
      <c r="C56" s="177">
        <f>RESUMEN!C27</f>
        <v>28</v>
      </c>
      <c r="D56" s="178" t="str">
        <f>VLOOKUP(C56,RESUMEN!$C$15:$D$33,2,0)</f>
        <v>CONSORCIO VÍAL SAN MARTÍN</v>
      </c>
      <c r="E56" s="179">
        <f>IF(ISTEXT('VR-PROP'!$AT$60),"DESCARTADO",'VR-PROP'!$AT$60)</f>
        <v>1671420931</v>
      </c>
      <c r="F56" s="180">
        <f t="shared" si="4"/>
        <v>1.6714209310000001</v>
      </c>
      <c r="G56" s="218">
        <f t="shared" si="5"/>
        <v>-8.965149257445626E-3</v>
      </c>
      <c r="H56" s="196">
        <f t="shared" si="6"/>
        <v>898.43467352520202</v>
      </c>
      <c r="I56" s="84">
        <f t="shared" si="0"/>
        <v>0.99103485074255437</v>
      </c>
      <c r="J56" s="85">
        <f t="shared" si="1"/>
        <v>1.0044579712105297</v>
      </c>
      <c r="K56" s="85">
        <f t="shared" si="2"/>
        <v>1.0010963985029031</v>
      </c>
      <c r="L56" s="85">
        <f t="shared" si="7"/>
        <v>1.0008696258193321</v>
      </c>
      <c r="M56" s="85" t="e">
        <f>IF(ISTEXT(E56),"",E56/#REF!)</f>
        <v>#REF!</v>
      </c>
      <c r="N56" s="231">
        <f t="shared" si="3"/>
        <v>1</v>
      </c>
      <c r="O56" s="232" t="e">
        <f t="shared" si="8"/>
        <v>#VALUE!</v>
      </c>
      <c r="P56" s="215"/>
    </row>
    <row r="57" spans="2:16" ht="26.25" customHeight="1" outlineLevel="1" x14ac:dyDescent="0.2">
      <c r="B57" s="176">
        <v>14</v>
      </c>
      <c r="C57" s="177">
        <f>RESUMEN!C28</f>
        <v>29</v>
      </c>
      <c r="D57" s="178" t="str">
        <f>VLOOKUP(C57,RESUMEN!$C$15:$D$33,2,0)</f>
        <v>CONSORCIO VÍAS COLOMBIA 2019</v>
      </c>
      <c r="E57" s="179" t="str">
        <f>IF(ISTEXT('VR-PROP'!$AW$60),"DESCARTADO",'VR-PROP'!$AW$60)</f>
        <v>DESCARTADO</v>
      </c>
      <c r="F57" s="180" t="str">
        <f t="shared" si="4"/>
        <v/>
      </c>
      <c r="G57" s="218" t="str">
        <f t="shared" si="5"/>
        <v>DESCARTADO</v>
      </c>
      <c r="H57" s="196" t="str">
        <f t="shared" si="6"/>
        <v>DESCARTADO</v>
      </c>
      <c r="I57" s="84" t="str">
        <f t="shared" si="0"/>
        <v/>
      </c>
      <c r="J57" s="85" t="str">
        <f t="shared" si="1"/>
        <v/>
      </c>
      <c r="K57" s="85" t="str">
        <f t="shared" si="2"/>
        <v/>
      </c>
      <c r="L57" s="85" t="str">
        <f t="shared" si="7"/>
        <v/>
      </c>
      <c r="M57" s="85" t="str">
        <f>IF(ISTEXT(E57),"",E57/#REF!)</f>
        <v/>
      </c>
      <c r="N57" s="231" t="str">
        <f t="shared" si="3"/>
        <v/>
      </c>
      <c r="O57" s="232" t="str">
        <f t="shared" si="8"/>
        <v/>
      </c>
      <c r="P57" s="215"/>
    </row>
    <row r="58" spans="2:16" ht="26.25" customHeight="1" outlineLevel="1" x14ac:dyDescent="0.2">
      <c r="B58" s="176">
        <v>15</v>
      </c>
      <c r="C58" s="177">
        <f>RESUMEN!C29</f>
        <v>32</v>
      </c>
      <c r="D58" s="178" t="str">
        <f>VLOOKUP(C58,RESUMEN!$C$15:$D$33,2,0)</f>
        <v>CONSORCIO VÍAS AL LLANO</v>
      </c>
      <c r="E58" s="179" t="str">
        <f>IF(ISTEXT('VR-PROP'!$AZ$60),"DESCARTADO",'VR-PROP'!$AZ$60)</f>
        <v>DESCARTADO</v>
      </c>
      <c r="F58" s="180" t="str">
        <f t="shared" si="4"/>
        <v/>
      </c>
      <c r="G58" s="218" t="str">
        <f t="shared" si="5"/>
        <v>DESCARTADO</v>
      </c>
      <c r="H58" s="196" t="str">
        <f t="shared" si="6"/>
        <v>DESCARTADO</v>
      </c>
      <c r="I58" s="84" t="str">
        <f t="shared" si="0"/>
        <v/>
      </c>
      <c r="J58" s="85" t="str">
        <f t="shared" si="1"/>
        <v/>
      </c>
      <c r="K58" s="85" t="str">
        <f t="shared" si="2"/>
        <v/>
      </c>
      <c r="L58" s="85" t="str">
        <f t="shared" si="7"/>
        <v/>
      </c>
      <c r="M58" s="85" t="str">
        <f>IF(ISTEXT(E58),"",E58/#REF!)</f>
        <v/>
      </c>
      <c r="N58" s="231" t="str">
        <f t="shared" si="3"/>
        <v/>
      </c>
      <c r="O58" s="232" t="str">
        <f t="shared" si="8"/>
        <v/>
      </c>
      <c r="P58" s="215"/>
    </row>
    <row r="59" spans="2:16" ht="26.25" customHeight="1" outlineLevel="1" x14ac:dyDescent="0.2">
      <c r="B59" s="176">
        <v>16</v>
      </c>
      <c r="C59" s="177">
        <f>RESUMEN!C30</f>
        <v>34</v>
      </c>
      <c r="D59" s="178" t="str">
        <f>VLOOKUP(C59,RESUMEN!$C$15:$D$33,2,0)</f>
        <v>CONSORCIO SAN MARTÍN</v>
      </c>
      <c r="E59" s="179">
        <f>IF(ISTEXT('VR-PROP'!$BC$60),"DESCARTADO",'VR-PROP'!$BC$60)</f>
        <v>1652780474</v>
      </c>
      <c r="F59" s="180">
        <f t="shared" si="4"/>
        <v>1.6527804740000001</v>
      </c>
      <c r="G59" s="218">
        <f t="shared" si="5"/>
        <v>-2.0017626929671239E-2</v>
      </c>
      <c r="H59" s="196">
        <f t="shared" si="6"/>
        <v>890.73671958012039</v>
      </c>
      <c r="I59" s="84">
        <f t="shared" si="0"/>
        <v>0.97998237307032876</v>
      </c>
      <c r="J59" s="85">
        <f t="shared" si="1"/>
        <v>0.99325579270875941</v>
      </c>
      <c r="K59" s="85">
        <f t="shared" si="2"/>
        <v>0.98993170981016099</v>
      </c>
      <c r="L59" s="85">
        <f t="shared" si="7"/>
        <v>0.98970746620013372</v>
      </c>
      <c r="M59" s="85" t="e">
        <f>IF(ISTEXT(E59),"",E59/#REF!)</f>
        <v>#REF!</v>
      </c>
      <c r="N59" s="231">
        <f t="shared" si="3"/>
        <v>1</v>
      </c>
      <c r="O59" s="232">
        <f t="shared" si="8"/>
        <v>15206749</v>
      </c>
      <c r="P59" s="215"/>
    </row>
    <row r="60" spans="2:16" ht="26.25" customHeight="1" outlineLevel="1" x14ac:dyDescent="0.2">
      <c r="B60" s="176">
        <v>17</v>
      </c>
      <c r="C60" s="177">
        <f>RESUMEN!C31</f>
        <v>35</v>
      </c>
      <c r="D60" s="178" t="str">
        <f>VLOOKUP(C60,RESUMEN!$C$15:$D$33,2,0)</f>
        <v>OCIEEQUIPOS SAS</v>
      </c>
      <c r="E60" s="179">
        <f>IF(ISTEXT('VR-PROP'!$BF$60),"DESCARTADO",'VR-PROP'!$BF$60)</f>
        <v>1667987223</v>
      </c>
      <c r="F60" s="180">
        <f t="shared" si="4"/>
        <v>1.6679872229999999</v>
      </c>
      <c r="G60" s="218">
        <f t="shared" si="5"/>
        <v>-1.1001096176715963E-2</v>
      </c>
      <c r="H60" s="196">
        <f t="shared" si="6"/>
        <v>898.93212721762507</v>
      </c>
      <c r="I60" s="84">
        <f t="shared" si="0"/>
        <v>0.98899890382328404</v>
      </c>
      <c r="J60" s="85">
        <f t="shared" si="1"/>
        <v>1.0023944483076868</v>
      </c>
      <c r="K60" s="85">
        <f t="shared" si="2"/>
        <v>0.99903978149604666</v>
      </c>
      <c r="L60" s="85">
        <f t="shared" si="7"/>
        <v>0.99881347468625004</v>
      </c>
      <c r="M60" s="85" t="e">
        <f>IF(ISTEXT(E60),"",E60/#REF!)</f>
        <v>#REF!</v>
      </c>
      <c r="N60" s="231">
        <f t="shared" si="3"/>
        <v>1</v>
      </c>
      <c r="O60" s="232">
        <f t="shared" si="8"/>
        <v>1376316</v>
      </c>
      <c r="P60" s="215"/>
    </row>
    <row r="61" spans="2:16" ht="26.25" customHeight="1" outlineLevel="1" x14ac:dyDescent="0.2">
      <c r="B61" s="176">
        <v>18</v>
      </c>
      <c r="C61" s="177">
        <f>RESUMEN!C32</f>
        <v>36</v>
      </c>
      <c r="D61" s="178" t="str">
        <f>VLOOKUP(C61,RESUMEN!$C$15:$D$33,2,0)</f>
        <v>CONSORCIO INFRAESTRUCTURA VIAL</v>
      </c>
      <c r="E61" s="179">
        <f>IF(ISTEXT('VR-PROP'!$BI$60),"DESCARTADO",'VR-PROP'!$BI$60)</f>
        <v>1666610907</v>
      </c>
      <c r="F61" s="180">
        <f t="shared" si="4"/>
        <v>1.6666109069999999</v>
      </c>
      <c r="G61" s="218">
        <f t="shared" si="5"/>
        <v>-1.1817154595236912E-2</v>
      </c>
      <c r="H61" s="196">
        <f t="shared" si="6"/>
        <v>898.19038612240354</v>
      </c>
      <c r="I61" s="84"/>
      <c r="J61" s="85"/>
      <c r="K61" s="85"/>
      <c r="L61" s="85"/>
      <c r="M61" s="85"/>
      <c r="N61" s="231">
        <f t="shared" si="3"/>
        <v>1</v>
      </c>
      <c r="O61" s="232">
        <f t="shared" si="8"/>
        <v>15587478</v>
      </c>
      <c r="P61" s="215"/>
    </row>
    <row r="62" spans="2:16" ht="26.25" customHeight="1" outlineLevel="1" x14ac:dyDescent="0.2">
      <c r="B62" s="176">
        <v>19</v>
      </c>
      <c r="C62" s="177">
        <f>RESUMEN!C33</f>
        <v>37</v>
      </c>
      <c r="D62" s="178" t="str">
        <f>VLOOKUP(C62,RESUMEN!$C$15:$D$33,2,0)</f>
        <v>CONSORCIO VÍA OLIMPICA 2018</v>
      </c>
      <c r="E62" s="179">
        <f>IF(ISTEXT('VR-PROP'!$BL$60),"DESCARTADO",'VR-PROP'!$BL$60)</f>
        <v>1651023429</v>
      </c>
      <c r="F62" s="180">
        <f t="shared" si="4"/>
        <v>1.6510234290000001</v>
      </c>
      <c r="G62" s="218">
        <f t="shared" si="5"/>
        <v>-2.1059430820616343E-2</v>
      </c>
      <c r="H62" s="196">
        <f t="shared" si="6"/>
        <v>889.78979134368797</v>
      </c>
      <c r="I62" s="84"/>
      <c r="J62" s="85"/>
      <c r="K62" s="85"/>
      <c r="L62" s="85"/>
      <c r="M62" s="85"/>
      <c r="N62" s="231">
        <f t="shared" si="3"/>
        <v>1</v>
      </c>
      <c r="O62" s="232" t="e">
        <f>IF(E62="DESCARTADO","",ABS(E62-#REF!))</f>
        <v>#REF!</v>
      </c>
      <c r="P62" s="215"/>
    </row>
    <row r="63" spans="2:16" customFormat="1" ht="13.5" outlineLevel="1" thickBot="1" x14ac:dyDescent="0.25">
      <c r="N63" s="209"/>
      <c r="O63" s="192"/>
      <c r="P63" s="190"/>
    </row>
    <row r="64" spans="2:16" customFormat="1" ht="15" x14ac:dyDescent="0.2">
      <c r="B64" s="391" t="s">
        <v>63</v>
      </c>
      <c r="C64" s="392"/>
      <c r="D64" s="392"/>
      <c r="E64" s="392"/>
      <c r="F64" s="392"/>
      <c r="G64" s="392"/>
      <c r="H64" s="393"/>
      <c r="O64" s="192"/>
      <c r="P64" s="190"/>
    </row>
    <row r="65" spans="2:38" customFormat="1" x14ac:dyDescent="0.2">
      <c r="B65" s="394" t="s">
        <v>64</v>
      </c>
      <c r="C65" s="395"/>
      <c r="D65" s="395"/>
      <c r="E65" s="395"/>
      <c r="F65" s="395"/>
      <c r="G65" s="395"/>
      <c r="H65" s="278" t="s">
        <v>65</v>
      </c>
      <c r="O65" s="190"/>
      <c r="P65" s="190"/>
    </row>
    <row r="66" spans="2:38" customFormat="1" x14ac:dyDescent="0.2">
      <c r="B66" s="368" t="s">
        <v>66</v>
      </c>
      <c r="C66" s="369"/>
      <c r="D66" s="369"/>
      <c r="E66" s="369"/>
      <c r="F66" s="369"/>
      <c r="G66" s="369"/>
      <c r="H66" s="112">
        <f>COUNTIF(H44:H62,"DESCARTADO")</f>
        <v>8</v>
      </c>
      <c r="L66" s="43"/>
      <c r="M66" s="43"/>
      <c r="O66" s="190"/>
      <c r="P66" s="190"/>
    </row>
    <row r="67" spans="2:38" ht="13.15" customHeight="1" x14ac:dyDescent="0.2">
      <c r="B67" s="368" t="s">
        <v>68</v>
      </c>
      <c r="C67" s="369"/>
      <c r="D67" s="369"/>
      <c r="E67" s="369"/>
      <c r="F67" s="369"/>
      <c r="G67" s="369"/>
      <c r="H67" s="113">
        <f>COUNTIF(E44:E62,"&lt;="&amp;H38)</f>
        <v>7</v>
      </c>
      <c r="I67"/>
      <c r="J67"/>
      <c r="K67"/>
    </row>
    <row r="68" spans="2:38" ht="13.15" customHeight="1" x14ac:dyDescent="0.2">
      <c r="B68" s="368" t="s">
        <v>67</v>
      </c>
      <c r="C68" s="369"/>
      <c r="D68" s="369"/>
      <c r="E68" s="369"/>
      <c r="F68" s="369"/>
      <c r="G68" s="369"/>
      <c r="H68" s="113">
        <f>COUNTIF(E44:E62,"&gt;"&amp;H38)</f>
        <v>4</v>
      </c>
      <c r="I68"/>
      <c r="J68"/>
      <c r="K68"/>
    </row>
    <row r="69" spans="2:38" ht="13.15" customHeight="1" x14ac:dyDescent="0.2">
      <c r="B69" s="368" t="s">
        <v>69</v>
      </c>
      <c r="C69" s="369"/>
      <c r="D69" s="369"/>
      <c r="E69" s="369"/>
      <c r="F69" s="369"/>
      <c r="G69" s="369"/>
      <c r="H69" s="114">
        <f>DMIN(G42:H62,1,G73:H74)</f>
        <v>-9.7222295671369752E-3</v>
      </c>
      <c r="I69"/>
      <c r="J69"/>
      <c r="K69"/>
      <c r="L69"/>
      <c r="M69"/>
      <c r="N69"/>
    </row>
    <row r="70" spans="2:38" ht="13.9" customHeight="1" x14ac:dyDescent="0.2">
      <c r="B70" s="368" t="s">
        <v>71</v>
      </c>
      <c r="C70" s="369"/>
      <c r="D70" s="369"/>
      <c r="E70" s="369"/>
      <c r="F70" s="369"/>
      <c r="G70" s="369"/>
      <c r="H70" s="118">
        <f>IF(H18=0,"",DGET(C42:H62,1,H73:H74))</f>
        <v>9</v>
      </c>
      <c r="I70"/>
      <c r="J70"/>
      <c r="K70"/>
      <c r="L70"/>
      <c r="M70"/>
      <c r="N70"/>
    </row>
    <row r="71" spans="2:38" s="42" customFormat="1" ht="13.5" thickBot="1" x14ac:dyDescent="0.25">
      <c r="B71" s="376" t="s">
        <v>70</v>
      </c>
      <c r="C71" s="377"/>
      <c r="D71" s="377"/>
      <c r="E71" s="377"/>
      <c r="F71" s="377"/>
      <c r="G71" s="377"/>
      <c r="H71" s="115" t="str">
        <f>IF(H18=0,"",DGET(C42:M62,2,H73:H74))</f>
        <v>CONSORCIO VÍAS 2019</v>
      </c>
      <c r="I71" s="148"/>
      <c r="J71" s="148"/>
      <c r="K71" s="148"/>
      <c r="L71" s="148"/>
      <c r="M71" s="148"/>
      <c r="N71" s="148"/>
      <c r="O71" s="191"/>
      <c r="P71" s="191"/>
    </row>
    <row r="72" spans="2:38" ht="13.5" customHeight="1" x14ac:dyDescent="0.2">
      <c r="B72"/>
      <c r="C72"/>
      <c r="D72"/>
      <c r="E72"/>
      <c r="F72"/>
      <c r="H72" s="43"/>
      <c r="I72" s="43"/>
      <c r="J72"/>
      <c r="K72"/>
      <c r="L72"/>
      <c r="M72"/>
      <c r="N72"/>
    </row>
    <row r="73" spans="2:38" ht="22.5" hidden="1" x14ac:dyDescent="0.2">
      <c r="B73"/>
      <c r="C73"/>
      <c r="D73"/>
      <c r="E73"/>
      <c r="F73"/>
      <c r="G73" s="116" t="s">
        <v>25</v>
      </c>
      <c r="H73" s="116" t="s">
        <v>4</v>
      </c>
      <c r="I73" s="43"/>
      <c r="J73"/>
      <c r="K73"/>
      <c r="L73"/>
      <c r="M73"/>
      <c r="N73"/>
    </row>
    <row r="74" spans="2:38" ht="13.5" hidden="1" customHeight="1" thickBot="1" x14ac:dyDescent="0.25">
      <c r="B74"/>
      <c r="C74"/>
      <c r="D74"/>
      <c r="E74"/>
      <c r="F74"/>
      <c r="G74" s="47" t="s">
        <v>13</v>
      </c>
      <c r="H74" s="117">
        <f>MAX(H44:H62)</f>
        <v>899.81094160929092</v>
      </c>
      <c r="I74" s="43"/>
      <c r="J74"/>
      <c r="K74"/>
      <c r="L74"/>
      <c r="M74"/>
      <c r="N74"/>
    </row>
    <row r="75" spans="2:38" x14ac:dyDescent="0.2">
      <c r="B75"/>
      <c r="C75"/>
      <c r="D75"/>
      <c r="E75"/>
      <c r="F75"/>
      <c r="H75" s="43"/>
      <c r="I75" s="43"/>
      <c r="J75"/>
      <c r="K75"/>
      <c r="L75"/>
      <c r="M75"/>
      <c r="N75"/>
    </row>
    <row r="76" spans="2:38" ht="13.5" customHeight="1" x14ac:dyDescent="0.2">
      <c r="B76"/>
      <c r="C76"/>
      <c r="D76"/>
      <c r="E76"/>
      <c r="F76"/>
      <c r="H76" s="43"/>
      <c r="I76" s="43"/>
      <c r="J76"/>
      <c r="K76"/>
      <c r="L76"/>
      <c r="M76"/>
      <c r="N76"/>
    </row>
    <row r="77" spans="2:38" ht="13.5" customHeight="1" x14ac:dyDescent="0.2">
      <c r="B77"/>
      <c r="C77"/>
      <c r="D77"/>
      <c r="E77"/>
      <c r="F77"/>
      <c r="H77" s="43"/>
      <c r="I77" s="43"/>
      <c r="J77"/>
      <c r="K77"/>
      <c r="L77"/>
      <c r="M77"/>
      <c r="N77"/>
    </row>
    <row r="78" spans="2:38" ht="13.5" customHeight="1" x14ac:dyDescent="0.2">
      <c r="B78"/>
      <c r="C78"/>
      <c r="D78"/>
      <c r="E78"/>
      <c r="F78"/>
      <c r="H78" s="43"/>
      <c r="I78" s="43"/>
      <c r="J78"/>
      <c r="K78"/>
      <c r="L78"/>
      <c r="M78"/>
      <c r="N78"/>
    </row>
    <row r="79" spans="2:38" ht="16.5" customHeight="1" x14ac:dyDescent="0.2">
      <c r="B79"/>
      <c r="C79"/>
      <c r="D79"/>
      <c r="E79"/>
      <c r="F79"/>
      <c r="H79" s="43"/>
      <c r="I79" s="43"/>
      <c r="J79"/>
      <c r="K79"/>
      <c r="L79"/>
      <c r="M79"/>
      <c r="N79"/>
    </row>
    <row r="80" spans="2:38" s="211" customFormat="1" x14ac:dyDescent="0.2">
      <c r="B80" s="210"/>
      <c r="C80" s="210"/>
      <c r="J80" s="212"/>
      <c r="K80" s="210"/>
      <c r="L80" s="210"/>
      <c r="M80" s="210"/>
      <c r="N80" s="210"/>
      <c r="O80" s="213"/>
      <c r="P80" s="213"/>
      <c r="Q80" s="214">
        <v>246500889410</v>
      </c>
      <c r="R80" s="214">
        <v>242851543086</v>
      </c>
      <c r="S80" s="214">
        <v>255815367666</v>
      </c>
      <c r="T80" s="214">
        <v>229461585210</v>
      </c>
      <c r="U80" s="214">
        <v>251294023456</v>
      </c>
      <c r="V80" s="214">
        <v>256143018798</v>
      </c>
      <c r="W80" s="214">
        <v>254559622968</v>
      </c>
      <c r="X80" s="214">
        <v>259137028741</v>
      </c>
      <c r="Y80" s="214">
        <v>248849829575</v>
      </c>
      <c r="Z80" s="214">
        <v>246405951109</v>
      </c>
      <c r="AA80" s="214">
        <v>241537467742</v>
      </c>
      <c r="AB80" s="214">
        <v>248820873611</v>
      </c>
      <c r="AC80" s="214">
        <v>236679277932</v>
      </c>
      <c r="AD80" s="214">
        <v>231590047547</v>
      </c>
      <c r="AE80" s="214">
        <v>227321068593</v>
      </c>
      <c r="AF80" s="214">
        <v>249585224523</v>
      </c>
      <c r="AG80" s="214">
        <v>259120341261</v>
      </c>
      <c r="AH80" s="214">
        <v>250076291918</v>
      </c>
      <c r="AI80" s="214">
        <v>260048521564</v>
      </c>
      <c r="AJ80" s="214">
        <v>239541109341</v>
      </c>
      <c r="AK80" s="214">
        <v>250814634168</v>
      </c>
      <c r="AL80" s="214">
        <v>242211742393</v>
      </c>
    </row>
    <row r="81" spans="7:14" x14ac:dyDescent="0.2">
      <c r="K81"/>
      <c r="L81"/>
      <c r="M81"/>
      <c r="N81"/>
    </row>
    <row r="82" spans="7:14" x14ac:dyDescent="0.2">
      <c r="G82" s="46"/>
      <c r="K82"/>
      <c r="L82"/>
      <c r="M82"/>
      <c r="N82"/>
    </row>
    <row r="83" spans="7:14" x14ac:dyDescent="0.2">
      <c r="K83"/>
      <c r="L83"/>
      <c r="M83"/>
      <c r="N83"/>
    </row>
    <row r="84" spans="7:14" x14ac:dyDescent="0.2">
      <c r="K84"/>
      <c r="L84"/>
      <c r="M84"/>
      <c r="N84"/>
    </row>
    <row r="85" spans="7:14" x14ac:dyDescent="0.2">
      <c r="K85"/>
      <c r="L85"/>
      <c r="M85"/>
      <c r="N85"/>
    </row>
    <row r="86" spans="7:14" x14ac:dyDescent="0.2">
      <c r="K86"/>
      <c r="L86"/>
      <c r="M86"/>
      <c r="N86"/>
    </row>
    <row r="87" spans="7:14" x14ac:dyDescent="0.2">
      <c r="K87"/>
      <c r="L87"/>
      <c r="M87"/>
      <c r="N87"/>
    </row>
    <row r="88" spans="7:14" x14ac:dyDescent="0.2">
      <c r="K88"/>
      <c r="L88"/>
      <c r="M88"/>
      <c r="N88"/>
    </row>
    <row r="89" spans="7:14" x14ac:dyDescent="0.2">
      <c r="K89"/>
      <c r="L89"/>
      <c r="M89"/>
      <c r="N89"/>
    </row>
    <row r="90" spans="7:14" x14ac:dyDescent="0.2">
      <c r="K90"/>
      <c r="L90"/>
      <c r="M90"/>
      <c r="N90"/>
    </row>
    <row r="91" spans="7:14" x14ac:dyDescent="0.2">
      <c r="K91"/>
      <c r="L91"/>
      <c r="M91"/>
      <c r="N91"/>
    </row>
    <row r="92" spans="7:14" x14ac:dyDescent="0.2">
      <c r="K92"/>
      <c r="L92"/>
      <c r="M92"/>
      <c r="N92"/>
    </row>
  </sheetData>
  <sheetProtection selectLockedCells="1"/>
  <dataConsolidate/>
  <mergeCells count="39">
    <mergeCell ref="B7:H7"/>
    <mergeCell ref="B9:H9"/>
    <mergeCell ref="B10:H10"/>
    <mergeCell ref="B1:H1"/>
    <mergeCell ref="B2:H2"/>
    <mergeCell ref="B3:H3"/>
    <mergeCell ref="B4:H4"/>
    <mergeCell ref="B5:H5"/>
    <mergeCell ref="M42:M43"/>
    <mergeCell ref="B27:H27"/>
    <mergeCell ref="B29:H29"/>
    <mergeCell ref="B31:H31"/>
    <mergeCell ref="E38:G38"/>
    <mergeCell ref="L42:L43"/>
    <mergeCell ref="K42:K43"/>
    <mergeCell ref="B41:H41"/>
    <mergeCell ref="I42:I43"/>
    <mergeCell ref="J42:J43"/>
    <mergeCell ref="B71:G71"/>
    <mergeCell ref="B70:G70"/>
    <mergeCell ref="B12:H12"/>
    <mergeCell ref="B28:G28"/>
    <mergeCell ref="B30:G30"/>
    <mergeCell ref="B17:H17"/>
    <mergeCell ref="B38:D38"/>
    <mergeCell ref="B32:G32"/>
    <mergeCell ref="B33:G33"/>
    <mergeCell ref="B34:G34"/>
    <mergeCell ref="B35:G35"/>
    <mergeCell ref="E15:H15"/>
    <mergeCell ref="B64:H64"/>
    <mergeCell ref="B69:G69"/>
    <mergeCell ref="B65:G65"/>
    <mergeCell ref="B66:G66"/>
    <mergeCell ref="B67:G67"/>
    <mergeCell ref="B68:G68"/>
    <mergeCell ref="B42:B43"/>
    <mergeCell ref="C42:C43"/>
    <mergeCell ref="D42:D43"/>
  </mergeCells>
  <conditionalFormatting sqref="B44:H62">
    <cfRule type="expression" dxfId="8" priority="14" stopIfTrue="1">
      <formula>MOD(ROW(),2)</formula>
    </cfRule>
  </conditionalFormatting>
  <conditionalFormatting sqref="E44:F62">
    <cfRule type="cellIs" dxfId="7" priority="13" stopIfTrue="1" operator="equal">
      <formula>"NO ADMISIBLE"</formula>
    </cfRule>
  </conditionalFormatting>
  <conditionalFormatting sqref="E44:F62">
    <cfRule type="cellIs" dxfId="6" priority="12" stopIfTrue="1" operator="equal">
      <formula>"DESCARTADO"</formula>
    </cfRule>
  </conditionalFormatting>
  <dataValidations count="1">
    <dataValidation type="list" allowBlank="1" showInputMessage="1" showErrorMessage="1" sqref="O16">
      <formula1>METEVA</formula1>
    </dataValidation>
  </dataValidations>
  <printOptions horizontalCentered="1"/>
  <pageMargins left="0.23622047244094491" right="0.23622047244094491" top="0.74803149606299213" bottom="0.74803149606299213" header="0.31496062992125984" footer="0.31496062992125984"/>
  <pageSetup scale="85" fitToHeight="0" orientation="portrait" horizontalDpi="1200" verticalDpi="1200" r:id="rId1"/>
  <headerFooter alignWithMargins="0">
    <oddFooter>&amp;L&amp;9&amp;F
&amp;A&amp;C&amp;P de &amp;N&amp;R&amp;9INSTITUTO NACIONAL DE VIAS
&amp;D</oddFooter>
  </headerFooter>
  <rowBreaks count="1" manualBreakCount="1">
    <brk id="38" min="1" max="6" man="1"/>
  </rowBreaks>
  <ignoredErrors>
    <ignoredError sqref="H19:H20 H22:H2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749992370372631"/>
  </sheetPr>
  <dimension ref="B1:W37"/>
  <sheetViews>
    <sheetView showGridLines="0" tabSelected="1" topLeftCell="N7" zoomScale="110" zoomScaleNormal="110" zoomScaleSheetLayoutView="100" workbookViewId="0">
      <selection activeCell="P13" sqref="P13:S13"/>
    </sheetView>
  </sheetViews>
  <sheetFormatPr baseColWidth="10" defaultColWidth="11.42578125" defaultRowHeight="12.75" x14ac:dyDescent="0.2"/>
  <cols>
    <col min="1" max="1" width="2.7109375" style="2" customWidth="1"/>
    <col min="2" max="2" width="10.28515625" style="2" bestFit="1" customWidth="1"/>
    <col min="3" max="3" width="10.28515625" style="2" customWidth="1"/>
    <col min="4" max="4" width="37.85546875" style="2" bestFit="1" customWidth="1"/>
    <col min="5" max="5" width="17.42578125" style="2" bestFit="1" customWidth="1"/>
    <col min="6" max="6" width="16" style="2" customWidth="1"/>
    <col min="7" max="9" width="13.28515625" style="2" customWidth="1"/>
    <col min="10" max="10" width="16.28515625" style="2" hidden="1" customWidth="1"/>
    <col min="11" max="11" width="12.85546875" style="2" customWidth="1"/>
    <col min="12" max="12" width="11.42578125" style="2" hidden="1" customWidth="1"/>
    <col min="13" max="13" width="4.7109375" style="2" hidden="1" customWidth="1"/>
    <col min="14" max="14" width="4.7109375" style="2" customWidth="1"/>
    <col min="15" max="15" width="16" style="3" hidden="1" customWidth="1"/>
    <col min="16" max="16" width="9.28515625" style="3" bestFit="1" customWidth="1"/>
    <col min="17" max="17" width="71.5703125" style="2" customWidth="1"/>
    <col min="18" max="18" width="20" style="2" customWidth="1"/>
    <col min="19" max="19" width="20.140625" style="2" bestFit="1" customWidth="1"/>
    <col min="20" max="20" width="5.28515625" style="2" customWidth="1"/>
    <col min="21" max="21" width="11.42578125" style="230" customWidth="1"/>
    <col min="22" max="23" width="11.42578125" style="230"/>
    <col min="24" max="16384" width="11.42578125" style="2"/>
  </cols>
  <sheetData>
    <row r="1" spans="2:22" ht="18" x14ac:dyDescent="0.2">
      <c r="B1" s="338" t="str">
        <f>RESUMEN!B1</f>
        <v>FIDUPREVISORA</v>
      </c>
      <c r="C1" s="338"/>
      <c r="D1" s="338"/>
      <c r="E1" s="338"/>
      <c r="F1" s="338"/>
      <c r="G1" s="338"/>
      <c r="H1" s="338"/>
      <c r="I1" s="338"/>
      <c r="J1" s="338"/>
      <c r="K1" s="338"/>
      <c r="L1" s="1"/>
      <c r="P1" s="338" t="str">
        <f>B1</f>
        <v>FIDUPREVISORA</v>
      </c>
      <c r="Q1" s="338"/>
      <c r="R1" s="338"/>
      <c r="S1" s="338"/>
    </row>
    <row r="2" spans="2:22" ht="15.75" x14ac:dyDescent="0.2">
      <c r="B2" s="323"/>
      <c r="C2" s="323"/>
      <c r="D2" s="323"/>
      <c r="E2" s="323"/>
      <c r="F2" s="323"/>
      <c r="G2" s="323"/>
      <c r="H2" s="323"/>
      <c r="I2" s="323"/>
      <c r="J2" s="323"/>
      <c r="K2" s="323"/>
      <c r="L2" s="4"/>
      <c r="P2" s="323"/>
      <c r="Q2" s="323"/>
      <c r="R2" s="323"/>
      <c r="S2" s="323"/>
    </row>
    <row r="3" spans="2:22" x14ac:dyDescent="0.2">
      <c r="B3" s="323" t="str">
        <f>RESUMEN!B3</f>
        <v>PATRIMONIO AUTÓNOMO FIDEICOMISO ECOPETROL ZOMAC (en adelante PATRIMONIO AUTÓNOMO) FIDUCIARIA LA PREVISORA S.A.</v>
      </c>
      <c r="C3" s="323"/>
      <c r="D3" s="323"/>
      <c r="E3" s="323"/>
      <c r="F3" s="323"/>
      <c r="G3" s="323"/>
      <c r="H3" s="323"/>
      <c r="I3" s="323"/>
      <c r="J3" s="323"/>
      <c r="K3" s="323"/>
      <c r="L3" s="5"/>
      <c r="P3" s="323" t="str">
        <f>B3</f>
        <v>PATRIMONIO AUTÓNOMO FIDEICOMISO ECOPETROL ZOMAC (en adelante PATRIMONIO AUTÓNOMO) FIDUCIARIA LA PREVISORA S.A.</v>
      </c>
      <c r="Q3" s="323"/>
      <c r="R3" s="323"/>
      <c r="S3" s="323"/>
    </row>
    <row r="4" spans="2:22" x14ac:dyDescent="0.2">
      <c r="B4" s="323"/>
      <c r="C4" s="323"/>
      <c r="D4" s="323"/>
      <c r="E4" s="323"/>
      <c r="F4" s="323"/>
      <c r="G4" s="323"/>
      <c r="H4" s="323"/>
      <c r="I4" s="323"/>
      <c r="J4" s="323"/>
      <c r="K4" s="323"/>
      <c r="L4" s="5"/>
      <c r="P4" s="323"/>
      <c r="Q4" s="323"/>
      <c r="R4" s="323"/>
      <c r="S4" s="323"/>
    </row>
    <row r="5" spans="2:22" x14ac:dyDescent="0.2">
      <c r="B5" s="323" t="str">
        <f>RESUMEN!B5</f>
        <v>LICITACIÓN PRIVADA ABIERTA N° 006 DE 2018</v>
      </c>
      <c r="C5" s="323"/>
      <c r="D5" s="323"/>
      <c r="E5" s="323"/>
      <c r="F5" s="323"/>
      <c r="G5" s="323"/>
      <c r="H5" s="323"/>
      <c r="I5" s="323"/>
      <c r="J5" s="323"/>
      <c r="K5" s="323"/>
      <c r="L5" s="5"/>
      <c r="P5" s="323" t="str">
        <f>B5</f>
        <v>LICITACIÓN PRIVADA ABIERTA N° 006 DE 2018</v>
      </c>
      <c r="Q5" s="323"/>
      <c r="R5" s="323"/>
      <c r="S5" s="323"/>
    </row>
    <row r="6" spans="2:22" x14ac:dyDescent="0.2">
      <c r="B6" s="49"/>
      <c r="C6" s="49"/>
      <c r="D6" s="5"/>
      <c r="E6" s="5"/>
      <c r="F6" s="5"/>
      <c r="G6" s="5"/>
      <c r="H6" s="5"/>
      <c r="I6" s="5"/>
      <c r="J6" s="5"/>
      <c r="K6" s="5"/>
      <c r="L6" s="5"/>
      <c r="P6" s="49"/>
      <c r="Q6" s="5"/>
      <c r="R6" s="5"/>
      <c r="S6" s="5"/>
    </row>
    <row r="7" spans="2:22" ht="39.75" customHeight="1" x14ac:dyDescent="0.2">
      <c r="B7" s="323" t="str">
        <f>RESUMEN!B7</f>
        <v>PROYECTO No. 3: MEJORAMIENTO MEDIANTE LA PAVIMENTACIÓN DE LA CALLE 17 ENTRE LA VÍA NACIONAL Y LA VILLA OLÍMPICA DEL MUNICIPIO DE SAN MARTÍN, DEPARTAMENTO DEL META VINCULADOS AL CONTRIBUYENTE ECOPETROL S.A. DENTRO DEL MARCO DEL MECANISMO DE OBRAS POR IMPUESTOS</v>
      </c>
      <c r="C7" s="323"/>
      <c r="D7" s="323"/>
      <c r="E7" s="323"/>
      <c r="F7" s="323"/>
      <c r="G7" s="323"/>
      <c r="H7" s="323"/>
      <c r="I7" s="323"/>
      <c r="J7" s="323"/>
      <c r="K7" s="323"/>
      <c r="L7" s="6"/>
      <c r="P7" s="323" t="str">
        <f>B7</f>
        <v>PROYECTO No. 3: MEJORAMIENTO MEDIANTE LA PAVIMENTACIÓN DE LA CALLE 17 ENTRE LA VÍA NACIONAL Y LA VILLA OLÍMPICA DEL MUNICIPIO DE SAN MARTÍN, DEPARTAMENTO DEL META VINCULADOS AL CONTRIBUYENTE ECOPETROL S.A. DENTRO DEL MARCO DEL MECANISMO DE OBRAS POR IMPUESTOS</v>
      </c>
      <c r="Q7" s="323"/>
      <c r="R7" s="323"/>
      <c r="S7" s="323"/>
    </row>
    <row r="8" spans="2:22" x14ac:dyDescent="0.2">
      <c r="B8" s="49" t="str">
        <f>IF(RESUMEN!B8="","",RESUMEN!B8)</f>
        <v/>
      </c>
      <c r="C8" s="49"/>
      <c r="D8" s="6"/>
      <c r="E8" s="6"/>
      <c r="F8" s="6"/>
      <c r="G8" s="6"/>
      <c r="H8" s="6"/>
      <c r="I8" s="6"/>
      <c r="J8" s="6"/>
      <c r="K8" s="6"/>
      <c r="L8" s="6"/>
      <c r="P8" s="49" t="str">
        <f>B8</f>
        <v/>
      </c>
      <c r="Q8" s="5"/>
      <c r="R8" s="5"/>
      <c r="S8" s="5"/>
    </row>
    <row r="9" spans="2:22" x14ac:dyDescent="0.2">
      <c r="B9" s="334" t="s">
        <v>27</v>
      </c>
      <c r="C9" s="334"/>
      <c r="D9" s="334"/>
      <c r="E9" s="334"/>
      <c r="F9" s="334"/>
      <c r="G9" s="334"/>
      <c r="H9" s="334"/>
      <c r="I9" s="334"/>
      <c r="J9" s="334"/>
      <c r="K9" s="334"/>
      <c r="L9" s="7"/>
      <c r="P9" s="49"/>
      <c r="Q9" s="5"/>
      <c r="R9" s="5"/>
      <c r="S9" s="5"/>
    </row>
    <row r="10" spans="2:22" x14ac:dyDescent="0.2">
      <c r="B10" s="323" t="s">
        <v>29</v>
      </c>
      <c r="C10" s="323"/>
      <c r="D10" s="323"/>
      <c r="E10" s="323"/>
      <c r="F10" s="323"/>
      <c r="G10" s="323"/>
      <c r="H10" s="323"/>
      <c r="I10" s="323"/>
      <c r="J10" s="323"/>
      <c r="K10" s="323"/>
      <c r="L10" s="7"/>
      <c r="P10" s="323" t="s">
        <v>33</v>
      </c>
      <c r="Q10" s="323"/>
      <c r="R10" s="323"/>
      <c r="S10" s="323"/>
    </row>
    <row r="11" spans="2:22" ht="13.5" thickBot="1" x14ac:dyDescent="0.25">
      <c r="B11" s="124"/>
      <c r="C11" s="124"/>
      <c r="D11" s="124"/>
      <c r="E11" s="124"/>
      <c r="F11" s="124"/>
      <c r="G11" s="125"/>
      <c r="H11" s="124"/>
      <c r="I11" s="124"/>
      <c r="J11" s="124"/>
      <c r="K11" s="124" t="s">
        <v>3</v>
      </c>
      <c r="L11" s="124"/>
      <c r="O11" s="416" t="s">
        <v>9</v>
      </c>
    </row>
    <row r="12" spans="2:22" ht="24.75" customHeight="1" thickTop="1" x14ac:dyDescent="0.2">
      <c r="B12" s="411" t="s">
        <v>35</v>
      </c>
      <c r="C12" s="408" t="s">
        <v>28</v>
      </c>
      <c r="D12" s="408" t="s">
        <v>5</v>
      </c>
      <c r="E12" s="408" t="s">
        <v>97</v>
      </c>
      <c r="F12" s="428" t="s">
        <v>25</v>
      </c>
      <c r="G12" s="425" t="s">
        <v>16</v>
      </c>
      <c r="H12" s="425"/>
      <c r="I12" s="425"/>
      <c r="J12" s="425"/>
      <c r="K12" s="426" t="s">
        <v>31</v>
      </c>
      <c r="L12" s="408" t="s">
        <v>32</v>
      </c>
      <c r="O12" s="416"/>
      <c r="P12" s="417" t="s">
        <v>34</v>
      </c>
      <c r="Q12" s="418"/>
      <c r="R12" s="419"/>
      <c r="S12" s="420"/>
      <c r="V12" s="316"/>
    </row>
    <row r="13" spans="2:22" ht="52.5" customHeight="1" x14ac:dyDescent="0.2">
      <c r="B13" s="412"/>
      <c r="C13" s="409"/>
      <c r="D13" s="409"/>
      <c r="E13" s="409"/>
      <c r="F13" s="429"/>
      <c r="G13" s="283" t="s">
        <v>30</v>
      </c>
      <c r="H13" s="284"/>
      <c r="I13" s="283" t="s">
        <v>72</v>
      </c>
      <c r="J13" s="283"/>
      <c r="K13" s="427"/>
      <c r="L13" s="409"/>
      <c r="O13" s="416"/>
      <c r="P13" s="421">
        <f ca="1">VLOOKUP(Q16,D16:E34,2,FALSE)</f>
        <v>1670144084</v>
      </c>
      <c r="Q13" s="422"/>
      <c r="R13" s="423"/>
      <c r="S13" s="424"/>
    </row>
    <row r="14" spans="2:22" ht="15" x14ac:dyDescent="0.25">
      <c r="B14" s="413"/>
      <c r="C14" s="410"/>
      <c r="D14" s="410"/>
      <c r="E14" s="285" t="s">
        <v>24</v>
      </c>
      <c r="F14" s="286" t="s">
        <v>12</v>
      </c>
      <c r="G14" s="287">
        <v>900</v>
      </c>
      <c r="H14" s="287"/>
      <c r="I14" s="287">
        <v>100</v>
      </c>
      <c r="J14" s="288"/>
      <c r="K14" s="289">
        <f>SUM(G14:J14)</f>
        <v>1000</v>
      </c>
      <c r="L14" s="410"/>
      <c r="O14" s="416"/>
      <c r="P14" s="279" t="s">
        <v>80</v>
      </c>
      <c r="Q14" s="280" t="s">
        <v>5</v>
      </c>
      <c r="R14" s="281" t="s">
        <v>79</v>
      </c>
      <c r="S14" s="282" t="s">
        <v>4</v>
      </c>
    </row>
    <row r="15" spans="2:22" ht="5.25" customHeight="1" x14ac:dyDescent="0.2">
      <c r="B15" s="136"/>
      <c r="C15" s="132"/>
      <c r="D15" s="133"/>
      <c r="E15" s="133"/>
      <c r="F15" s="134"/>
      <c r="G15" s="135"/>
      <c r="H15" s="135"/>
      <c r="I15" s="135"/>
      <c r="J15" s="135"/>
      <c r="K15" s="137"/>
      <c r="L15" s="137"/>
      <c r="P15" s="144"/>
      <c r="Q15" s="143"/>
      <c r="R15" s="143"/>
      <c r="S15" s="145"/>
    </row>
    <row r="16" spans="2:22" ht="18" x14ac:dyDescent="0.2">
      <c r="B16" s="138">
        <v>1</v>
      </c>
      <c r="C16" s="139">
        <f>RESUMEN!C15</f>
        <v>2</v>
      </c>
      <c r="D16" s="111" t="str">
        <f>VLOOKUP(C16,RESUMEN!$C$15:$D$33,2,0)</f>
        <v>CONSORCIO VÍAS SAN MARTIN</v>
      </c>
      <c r="E16" s="140">
        <f>VLOOKUP(C16,FORMULA!$C$44:$H$62,3,0)</f>
        <v>1670322329</v>
      </c>
      <c r="F16" s="219">
        <f>VLOOKUP(C16,FORMULA!$C$44:$H$62,5,0)</f>
        <v>-9.6165428405354803E-3</v>
      </c>
      <c r="G16" s="197">
        <f>VLOOKUP(C16,FORMULA!$C$44:$H$62,6,0)</f>
        <v>899.61881764718078</v>
      </c>
      <c r="H16" s="141"/>
      <c r="I16" s="141">
        <f>VLOOKUP($C16,RESUMEN!$C$15:$I$33,5,FALSE)</f>
        <v>100</v>
      </c>
      <c r="J16" s="141">
        <f>VLOOKUP($C16,RESUMEN!$C$15:$I$33,6,FALSE)</f>
        <v>0</v>
      </c>
      <c r="K16" s="241">
        <f>IF(E16="DESCARTADO",-L16,SUM(G16:J16,-L16))</f>
        <v>999.61881764618079</v>
      </c>
      <c r="L16" s="142">
        <v>1.0000000000000001E-9</v>
      </c>
      <c r="M16" s="182">
        <f t="shared" ref="M16:M34" si="0">C16</f>
        <v>2</v>
      </c>
      <c r="O16" s="73">
        <f t="shared" ref="O16:O34" si="1">RANK(K16,$K$16:$K$34,0)</f>
        <v>2</v>
      </c>
      <c r="P16" s="146">
        <v>1</v>
      </c>
      <c r="Q16" s="147" t="str">
        <f t="shared" ref="Q16:Q34" ca="1" si="2">IF(P16="","",OFFSET($D$15,MATCH(B16,$O$16:$O$34,0),0))</f>
        <v>CONSORCIO VÍAS 2019</v>
      </c>
      <c r="R16" s="183">
        <f t="shared" ref="R16:R34" ca="1" si="3">IF(Q16="","",VLOOKUP(Q16,$D$16:$M$34,10,FALSE))</f>
        <v>9</v>
      </c>
      <c r="S16" s="195">
        <f t="shared" ref="S16:S34" ca="1" si="4">IF(Q16="","",VLOOKUP(Q16,$D$16:$K$34,8,FALSE))</f>
        <v>999.81094160799091</v>
      </c>
    </row>
    <row r="17" spans="2:19" ht="18" x14ac:dyDescent="0.2">
      <c r="B17" s="138">
        <v>2</v>
      </c>
      <c r="C17" s="139">
        <f>RESUMEN!C16</f>
        <v>6</v>
      </c>
      <c r="D17" s="111" t="str">
        <f>VLOOKUP(C17,RESUMEN!$C$15:$D$33,2,0)</f>
        <v>INGECON SA</v>
      </c>
      <c r="E17" s="140">
        <f>VLOOKUP(C17,FORMULA!$C$44:$H$62,3,0)</f>
        <v>1651869773</v>
      </c>
      <c r="F17" s="219">
        <f>VLOOKUP(C17,FORMULA!$C$44:$H$62,5,0)</f>
        <v>-2.055760845848098E-2</v>
      </c>
      <c r="G17" s="197">
        <f>VLOOKUP(C17,FORMULA!$C$44:$H$62,6,0)</f>
        <v>890.24591343010866</v>
      </c>
      <c r="H17" s="141"/>
      <c r="I17" s="141">
        <f>VLOOKUP($C17,RESUMEN!$C$15:$I$33,5,FALSE)</f>
        <v>100</v>
      </c>
      <c r="J17" s="141">
        <f>VLOOKUP($C17,RESUMEN!$C$15:$I$33,6,FALSE)</f>
        <v>0</v>
      </c>
      <c r="K17" s="241">
        <f t="shared" ref="K17:K34" si="5">IF(E17="DESCARTADO",-L17,SUM(G17:J17,-L17))</f>
        <v>990.24591342900862</v>
      </c>
      <c r="L17" s="142">
        <v>1.0999999999999999E-9</v>
      </c>
      <c r="M17" s="182">
        <f t="shared" si="0"/>
        <v>6</v>
      </c>
      <c r="O17" s="73">
        <f t="shared" si="1"/>
        <v>10</v>
      </c>
      <c r="P17" s="146">
        <f>P16+1</f>
        <v>2</v>
      </c>
      <c r="Q17" s="147" t="str">
        <f t="shared" ca="1" si="2"/>
        <v>CONSORCIO VÍAS SAN MARTIN</v>
      </c>
      <c r="R17" s="183">
        <f t="shared" ca="1" si="3"/>
        <v>2</v>
      </c>
      <c r="S17" s="195">
        <f t="shared" ca="1" si="4"/>
        <v>999.61881764618079</v>
      </c>
    </row>
    <row r="18" spans="2:19" ht="18" x14ac:dyDescent="0.2">
      <c r="B18" s="138">
        <v>3</v>
      </c>
      <c r="C18" s="139">
        <f>RESUMEN!C17</f>
        <v>8</v>
      </c>
      <c r="D18" s="111" t="str">
        <f>VLOOKUP(C18,RESUMEN!$C$15:$D$33,2,0)</f>
        <v>CONSORCIO VÍAS PG</v>
      </c>
      <c r="E18" s="140" t="str">
        <f>VLOOKUP(C18,FORMULA!$C$44:$H$62,3,0)</f>
        <v>DESCARTADO</v>
      </c>
      <c r="F18" s="219" t="str">
        <f>VLOOKUP(C18,FORMULA!$C$44:$H$62,5,0)</f>
        <v>DESCARTADO</v>
      </c>
      <c r="G18" s="197" t="str">
        <f>VLOOKUP(C18,FORMULA!$C$44:$H$62,6,0)</f>
        <v>DESCARTADO</v>
      </c>
      <c r="H18" s="141"/>
      <c r="I18" s="141">
        <f>VLOOKUP($C18,RESUMEN!$C$15:$I$33,5,FALSE)</f>
        <v>100</v>
      </c>
      <c r="J18" s="141">
        <f>VLOOKUP($C18,RESUMEN!$C$15:$I$33,6,FALSE)</f>
        <v>0</v>
      </c>
      <c r="K18" s="241">
        <f t="shared" si="5"/>
        <v>-1.2E-9</v>
      </c>
      <c r="L18" s="142">
        <v>1.2E-9</v>
      </c>
      <c r="M18" s="182">
        <f t="shared" si="0"/>
        <v>8</v>
      </c>
      <c r="O18" s="73">
        <f t="shared" si="1"/>
        <v>12</v>
      </c>
      <c r="P18" s="146">
        <f t="shared" ref="P18:P34" si="6">P17+1</f>
        <v>3</v>
      </c>
      <c r="Q18" s="147" t="str">
        <f t="shared" ca="1" si="2"/>
        <v>OCIEEQUIPOS SAS</v>
      </c>
      <c r="R18" s="183">
        <f t="shared" ca="1" si="3"/>
        <v>35</v>
      </c>
      <c r="S18" s="195">
        <f t="shared" ca="1" si="4"/>
        <v>998.93212721502505</v>
      </c>
    </row>
    <row r="19" spans="2:19" ht="18" x14ac:dyDescent="0.2">
      <c r="B19" s="138">
        <v>4</v>
      </c>
      <c r="C19" s="139">
        <f>RESUMEN!C18</f>
        <v>9</v>
      </c>
      <c r="D19" s="111" t="str">
        <f>VLOOKUP(C19,RESUMEN!$C$15:$D$33,2,0)</f>
        <v>CONSORCIO VÍAS 2019</v>
      </c>
      <c r="E19" s="140">
        <f>VLOOKUP(C19,FORMULA!$C$44:$H$62,3,0)</f>
        <v>1670144084</v>
      </c>
      <c r="F19" s="219">
        <f>VLOOKUP(C19,FORMULA!$C$44:$H$62,5,0)</f>
        <v>-9.7222295671369752E-3</v>
      </c>
      <c r="G19" s="197">
        <f>VLOOKUP(C19,FORMULA!$C$44:$H$62,6,0)</f>
        <v>899.81094160929092</v>
      </c>
      <c r="H19" s="141"/>
      <c r="I19" s="141">
        <f>VLOOKUP($C19,RESUMEN!$C$15:$I$33,5,FALSE)</f>
        <v>100</v>
      </c>
      <c r="J19" s="141">
        <f>VLOOKUP($C19,RESUMEN!$C$15:$I$33,6,FALSE)</f>
        <v>0</v>
      </c>
      <c r="K19" s="241">
        <f t="shared" si="5"/>
        <v>999.81094160799091</v>
      </c>
      <c r="L19" s="142">
        <v>1.3000000000000001E-9</v>
      </c>
      <c r="M19" s="182">
        <f t="shared" si="0"/>
        <v>9</v>
      </c>
      <c r="O19" s="73">
        <f t="shared" si="1"/>
        <v>1</v>
      </c>
      <c r="P19" s="146">
        <f t="shared" si="6"/>
        <v>4</v>
      </c>
      <c r="Q19" s="147" t="str">
        <f t="shared" ca="1" si="2"/>
        <v>CONSORCIO VÍAL SAN MARTÍN</v>
      </c>
      <c r="R19" s="183">
        <f t="shared" ca="1" si="3"/>
        <v>28</v>
      </c>
      <c r="S19" s="195">
        <f t="shared" ca="1" si="4"/>
        <v>998.43467352300206</v>
      </c>
    </row>
    <row r="20" spans="2:19" ht="18" x14ac:dyDescent="0.2">
      <c r="B20" s="138">
        <v>5</v>
      </c>
      <c r="C20" s="139">
        <f>RESUMEN!C19</f>
        <v>10</v>
      </c>
      <c r="D20" s="111" t="str">
        <f>VLOOKUP(C20,RESUMEN!$C$15:$D$33,2,0)</f>
        <v xml:space="preserve">CONSORCIO PUERTA DEL SOL </v>
      </c>
      <c r="E20" s="140" t="str">
        <f>VLOOKUP(C20,FORMULA!$C$44:$H$62,3,0)</f>
        <v>DESCARTADO</v>
      </c>
      <c r="F20" s="219" t="str">
        <f>VLOOKUP(C20,FORMULA!$C$44:$H$62,5,0)</f>
        <v>DESCARTADO</v>
      </c>
      <c r="G20" s="197" t="str">
        <f>VLOOKUP(C20,FORMULA!$C$44:$H$62,6,0)</f>
        <v>DESCARTADO</v>
      </c>
      <c r="H20" s="141"/>
      <c r="I20" s="141">
        <f>VLOOKUP($C20,RESUMEN!$C$15:$I$33,5,FALSE)</f>
        <v>100</v>
      </c>
      <c r="J20" s="141">
        <f>VLOOKUP($C20,RESUMEN!$C$15:$I$33,6,FALSE)</f>
        <v>0</v>
      </c>
      <c r="K20" s="241">
        <f t="shared" si="5"/>
        <v>-1.3999999999999999E-9</v>
      </c>
      <c r="L20" s="142">
        <v>1.3999999999999999E-9</v>
      </c>
      <c r="M20" s="182">
        <f t="shared" si="0"/>
        <v>10</v>
      </c>
      <c r="O20" s="73">
        <f t="shared" si="1"/>
        <v>13</v>
      </c>
      <c r="P20" s="146">
        <f t="shared" si="6"/>
        <v>5</v>
      </c>
      <c r="Q20" s="147" t="str">
        <f t="shared" ca="1" si="2"/>
        <v>CONSORCIO INFRAESTRUCTURA VIAL</v>
      </c>
      <c r="R20" s="183">
        <f t="shared" ca="1" si="3"/>
        <v>36</v>
      </c>
      <c r="S20" s="195">
        <f t="shared" ca="1" si="4"/>
        <v>998.19038611970359</v>
      </c>
    </row>
    <row r="21" spans="2:19" ht="18" x14ac:dyDescent="0.2">
      <c r="B21" s="138">
        <v>6</v>
      </c>
      <c r="C21" s="139">
        <f>RESUMEN!C20</f>
        <v>11</v>
      </c>
      <c r="D21" s="111" t="str">
        <f>VLOOKUP(C21,RESUMEN!$C$15:$D$33,2,0)</f>
        <v>CONSORCIO VIAL</v>
      </c>
      <c r="E21" s="140">
        <f>VLOOKUP(C21,FORMULA!$C$44:$H$62,3,0)</f>
        <v>1665451764</v>
      </c>
      <c r="F21" s="219">
        <f>VLOOKUP(C21,FORMULA!$C$44:$H$62,5,0)</f>
        <v>-1.2504444725860653E-2</v>
      </c>
      <c r="G21" s="197">
        <f>VLOOKUP(C21,FORMULA!$C$44:$H$62,6,0)</f>
        <v>897.56568656333536</v>
      </c>
      <c r="H21" s="141"/>
      <c r="I21" s="141">
        <f>VLOOKUP($C21,RESUMEN!$C$15:$I$33,5,FALSE)</f>
        <v>100</v>
      </c>
      <c r="J21" s="141">
        <f>VLOOKUP($C21,RESUMEN!$C$15:$I$33,6,FALSE)</f>
        <v>0</v>
      </c>
      <c r="K21" s="241">
        <f t="shared" si="5"/>
        <v>997.56568656183538</v>
      </c>
      <c r="L21" s="142">
        <v>1.5E-9</v>
      </c>
      <c r="M21" s="182">
        <f t="shared" si="0"/>
        <v>11</v>
      </c>
      <c r="O21" s="73">
        <f t="shared" si="1"/>
        <v>6</v>
      </c>
      <c r="P21" s="146">
        <f t="shared" si="6"/>
        <v>6</v>
      </c>
      <c r="Q21" s="147" t="str">
        <f t="shared" ca="1" si="2"/>
        <v>CONSORCIO VIAL</v>
      </c>
      <c r="R21" s="183">
        <f t="shared" ca="1" si="3"/>
        <v>11</v>
      </c>
      <c r="S21" s="195">
        <f t="shared" ca="1" si="4"/>
        <v>997.56568656183538</v>
      </c>
    </row>
    <row r="22" spans="2:19" ht="18" x14ac:dyDescent="0.2">
      <c r="B22" s="138">
        <v>7</v>
      </c>
      <c r="C22" s="139">
        <f>RESUMEN!C21</f>
        <v>14</v>
      </c>
      <c r="D22" s="111" t="str">
        <f>VLOOKUP(C22,RESUMEN!$C$15:$D$33,2,0)</f>
        <v>CONSORCIO RENOVACION URBANA</v>
      </c>
      <c r="E22" s="140">
        <f>VLOOKUP(C22,FORMULA!$C$44:$H$62,3,0)</f>
        <v>1675177935</v>
      </c>
      <c r="F22" s="219">
        <f>VLOOKUP(C22,FORMULA!$C$44:$H$62,5,0)</f>
        <v>-6.7375105882615527E-3</v>
      </c>
      <c r="G22" s="197">
        <f>VLOOKUP(C22,FORMULA!$C$44:$H$62,6,0)</f>
        <v>894.38513219644915</v>
      </c>
      <c r="H22" s="141"/>
      <c r="I22" s="141">
        <f>VLOOKUP($C22,RESUMEN!$C$15:$I$33,5,FALSE)</f>
        <v>100</v>
      </c>
      <c r="J22" s="141">
        <f>VLOOKUP($C22,RESUMEN!$C$15:$I$33,6,FALSE)</f>
        <v>0</v>
      </c>
      <c r="K22" s="241">
        <f t="shared" si="5"/>
        <v>994.38513219484912</v>
      </c>
      <c r="L22" s="142">
        <v>1.6000000000000001E-9</v>
      </c>
      <c r="M22" s="182">
        <f t="shared" si="0"/>
        <v>14</v>
      </c>
      <c r="O22" s="73">
        <f t="shared" si="1"/>
        <v>8</v>
      </c>
      <c r="P22" s="146">
        <f t="shared" si="6"/>
        <v>7</v>
      </c>
      <c r="Q22" s="147" t="str">
        <f t="shared" ca="1" si="2"/>
        <v>INGENIERIA DE PROYECTOS AML SA.S</v>
      </c>
      <c r="R22" s="183">
        <f t="shared" ca="1" si="3"/>
        <v>16</v>
      </c>
      <c r="S22" s="195">
        <f t="shared" ca="1" si="4"/>
        <v>995.29720372212535</v>
      </c>
    </row>
    <row r="23" spans="2:19" ht="18" x14ac:dyDescent="0.2">
      <c r="B23" s="138">
        <v>8</v>
      </c>
      <c r="C23" s="139">
        <f>RESUMEN!C22</f>
        <v>15</v>
      </c>
      <c r="D23" s="111" t="str">
        <f>VLOOKUP(C23,RESUMEN!$C$15:$D$33,2,0)</f>
        <v>CONSORCIO MEJORAMIENTO VIAL 2019</v>
      </c>
      <c r="E23" s="140" t="str">
        <f>VLOOKUP(C23,FORMULA!$C$44:$H$62,3,0)</f>
        <v>DESCARTADO</v>
      </c>
      <c r="F23" s="219" t="str">
        <f>VLOOKUP(C23,FORMULA!$C$44:$H$62,5,0)</f>
        <v>DESCARTADO</v>
      </c>
      <c r="G23" s="197" t="str">
        <f>VLOOKUP(C23,FORMULA!$C$44:$H$62,6,0)</f>
        <v>DESCARTADO</v>
      </c>
      <c r="H23" s="141"/>
      <c r="I23" s="141">
        <f>VLOOKUP($C23,RESUMEN!$C$15:$I$33,5,FALSE)</f>
        <v>100</v>
      </c>
      <c r="J23" s="141">
        <f>VLOOKUP($C23,RESUMEN!$C$15:$I$33,6,FALSE)</f>
        <v>0</v>
      </c>
      <c r="K23" s="241">
        <f t="shared" si="5"/>
        <v>-1.6999999999999999E-9</v>
      </c>
      <c r="L23" s="142">
        <v>1.6999999999999999E-9</v>
      </c>
      <c r="M23" s="182">
        <f t="shared" si="0"/>
        <v>15</v>
      </c>
      <c r="O23" s="73">
        <f t="shared" si="1"/>
        <v>14</v>
      </c>
      <c r="P23" s="146">
        <f t="shared" si="6"/>
        <v>8</v>
      </c>
      <c r="Q23" s="147" t="str">
        <f t="shared" ca="1" si="2"/>
        <v>CONSORCIO RENOVACION URBANA</v>
      </c>
      <c r="R23" s="183">
        <f t="shared" ca="1" si="3"/>
        <v>14</v>
      </c>
      <c r="S23" s="195">
        <f t="shared" ca="1" si="4"/>
        <v>994.38513219484912</v>
      </c>
    </row>
    <row r="24" spans="2:19" ht="18" x14ac:dyDescent="0.2">
      <c r="B24" s="138">
        <v>9</v>
      </c>
      <c r="C24" s="139">
        <f>RESUMEN!C23</f>
        <v>16</v>
      </c>
      <c r="D24" s="111" t="str">
        <f>VLOOKUP(C24,RESUMEN!$C$15:$D$33,2,0)</f>
        <v>INGENIERIA DE PROYECTOS AML SA.S</v>
      </c>
      <c r="E24" s="140">
        <f>VLOOKUP(C24,FORMULA!$C$44:$H$62,3,0)</f>
        <v>1661242547</v>
      </c>
      <c r="F24" s="219">
        <f>VLOOKUP(C24,FORMULA!$C$44:$H$62,5,0)</f>
        <v>-1.5000213843004762E-2</v>
      </c>
      <c r="G24" s="197">
        <f>VLOOKUP(C24,FORMULA!$C$44:$H$62,6,0)</f>
        <v>895.29720372392535</v>
      </c>
      <c r="H24" s="141"/>
      <c r="I24" s="141">
        <f>VLOOKUP($C24,RESUMEN!$C$15:$I$33,5,FALSE)</f>
        <v>100</v>
      </c>
      <c r="J24" s="141">
        <f>VLOOKUP($C24,RESUMEN!$C$15:$I$33,6,FALSE)</f>
        <v>0</v>
      </c>
      <c r="K24" s="241">
        <f t="shared" si="5"/>
        <v>995.29720372212535</v>
      </c>
      <c r="L24" s="142">
        <v>1.8E-9</v>
      </c>
      <c r="M24" s="182">
        <f t="shared" si="0"/>
        <v>16</v>
      </c>
      <c r="O24" s="73">
        <f t="shared" si="1"/>
        <v>7</v>
      </c>
      <c r="P24" s="146">
        <f t="shared" si="6"/>
        <v>9</v>
      </c>
      <c r="Q24" s="147" t="str">
        <f t="shared" ca="1" si="2"/>
        <v>CONSORCIO SAN MARTÍN</v>
      </c>
      <c r="R24" s="183">
        <f t="shared" ca="1" si="3"/>
        <v>34</v>
      </c>
      <c r="S24" s="195">
        <f t="shared" ca="1" si="4"/>
        <v>990.73671957762042</v>
      </c>
    </row>
    <row r="25" spans="2:19" ht="18" x14ac:dyDescent="0.2">
      <c r="B25" s="138">
        <v>10</v>
      </c>
      <c r="C25" s="139">
        <f>RESUMEN!C24</f>
        <v>17</v>
      </c>
      <c r="D25" s="111" t="str">
        <f>VLOOKUP(C25,RESUMEN!$C$15:$D$33,2,0)</f>
        <v>U.T SERVICIOS E INGENIERIA COROCORO</v>
      </c>
      <c r="E25" s="140" t="str">
        <f>VLOOKUP(C25,FORMULA!$C$44:$H$62,3,0)</f>
        <v>DESCARTADO</v>
      </c>
      <c r="F25" s="219" t="str">
        <f>VLOOKUP(C25,FORMULA!$C$44:$H$62,5,0)</f>
        <v>DESCARTADO</v>
      </c>
      <c r="G25" s="197" t="str">
        <f>VLOOKUP(C25,FORMULA!$C$44:$H$62,6,0)</f>
        <v>DESCARTADO</v>
      </c>
      <c r="H25" s="141"/>
      <c r="I25" s="141">
        <f>VLOOKUP($C25,RESUMEN!$C$15:$I$33,5,FALSE)</f>
        <v>100</v>
      </c>
      <c r="J25" s="141">
        <f>VLOOKUP($C25,RESUMEN!$C$15:$I$33,6,FALSE)</f>
        <v>0</v>
      </c>
      <c r="K25" s="241">
        <f t="shared" si="5"/>
        <v>-1.9000000000000001E-9</v>
      </c>
      <c r="L25" s="142">
        <v>1.9000000000000001E-9</v>
      </c>
      <c r="M25" s="182">
        <f t="shared" si="0"/>
        <v>17</v>
      </c>
      <c r="O25" s="73">
        <f t="shared" si="1"/>
        <v>15</v>
      </c>
      <c r="P25" s="146">
        <f t="shared" si="6"/>
        <v>10</v>
      </c>
      <c r="Q25" s="147" t="str">
        <f t="shared" ca="1" si="2"/>
        <v>INGECON SA</v>
      </c>
      <c r="R25" s="183">
        <f t="shared" ca="1" si="3"/>
        <v>6</v>
      </c>
      <c r="S25" s="195">
        <f t="shared" ca="1" si="4"/>
        <v>990.24591342900862</v>
      </c>
    </row>
    <row r="26" spans="2:19" ht="18" x14ac:dyDescent="0.2">
      <c r="B26" s="138">
        <v>11</v>
      </c>
      <c r="C26" s="139">
        <f>RESUMEN!C25</f>
        <v>18</v>
      </c>
      <c r="D26" s="111" t="str">
        <f>VLOOKUP(C26,RESUMEN!$C$15:$D$33,2,0)</f>
        <v>CONSORCIO VIAL ARAUCA</v>
      </c>
      <c r="E26" s="140" t="str">
        <f>VLOOKUP(C26,FORMULA!$C$44:$H$62,3,0)</f>
        <v>DESCARTADO</v>
      </c>
      <c r="F26" s="219" t="str">
        <f>VLOOKUP(C26,FORMULA!$C$44:$H$62,5,0)</f>
        <v>DESCARTADO</v>
      </c>
      <c r="G26" s="197" t="str">
        <f>VLOOKUP(C26,FORMULA!$C$44:$H$62,6,0)</f>
        <v>DESCARTADO</v>
      </c>
      <c r="H26" s="141"/>
      <c r="I26" s="141">
        <f>VLOOKUP($C26,RESUMEN!$C$15:$I$33,5,FALSE)</f>
        <v>100</v>
      </c>
      <c r="J26" s="141">
        <f>VLOOKUP($C26,RESUMEN!$C$15:$I$33,6,FALSE)</f>
        <v>0</v>
      </c>
      <c r="K26" s="241">
        <f t="shared" si="5"/>
        <v>-2.0000000000000001E-9</v>
      </c>
      <c r="L26" s="142">
        <v>2.0000000000000001E-9</v>
      </c>
      <c r="M26" s="182">
        <f t="shared" si="0"/>
        <v>18</v>
      </c>
      <c r="O26" s="73">
        <f t="shared" si="1"/>
        <v>16</v>
      </c>
      <c r="P26" s="146">
        <f t="shared" si="6"/>
        <v>11</v>
      </c>
      <c r="Q26" s="147" t="str">
        <f t="shared" ca="1" si="2"/>
        <v>CONSORCIO VÍA OLIMPICA 2018</v>
      </c>
      <c r="R26" s="183">
        <f t="shared" ca="1" si="3"/>
        <v>37</v>
      </c>
      <c r="S26" s="195">
        <f t="shared" ca="1" si="4"/>
        <v>989.78979134088797</v>
      </c>
    </row>
    <row r="27" spans="2:19" ht="18" x14ac:dyDescent="0.2">
      <c r="B27" s="138">
        <v>12</v>
      </c>
      <c r="C27" s="139">
        <f>RESUMEN!C26</f>
        <v>19</v>
      </c>
      <c r="D27" s="111" t="str">
        <f>VLOOKUP(C27,RESUMEN!$C$15:$D$33,2,0)</f>
        <v>CONSORCIO A&amp;C</v>
      </c>
      <c r="E27" s="140" t="str">
        <f>VLOOKUP(C27,FORMULA!$C$44:$H$62,3,0)</f>
        <v>DESCARTADO</v>
      </c>
      <c r="F27" s="219" t="str">
        <f>VLOOKUP(C27,FORMULA!$C$44:$H$62,5,0)</f>
        <v>DESCARTADO</v>
      </c>
      <c r="G27" s="197" t="str">
        <f>VLOOKUP(C27,FORMULA!$C$44:$H$62,6,0)</f>
        <v>DESCARTADO</v>
      </c>
      <c r="H27" s="141"/>
      <c r="I27" s="141">
        <f>VLOOKUP($C27,RESUMEN!$C$15:$I$33,5,FALSE)</f>
        <v>100</v>
      </c>
      <c r="J27" s="141">
        <f>VLOOKUP($C27,RESUMEN!$C$15:$I$33,6,FALSE)</f>
        <v>0</v>
      </c>
      <c r="K27" s="241">
        <f t="shared" si="5"/>
        <v>-2.1000000000000002E-9</v>
      </c>
      <c r="L27" s="142">
        <v>2.1000000000000002E-9</v>
      </c>
      <c r="M27" s="182">
        <f t="shared" si="0"/>
        <v>19</v>
      </c>
      <c r="O27" s="73">
        <f t="shared" si="1"/>
        <v>17</v>
      </c>
      <c r="P27" s="146">
        <f t="shared" si="6"/>
        <v>12</v>
      </c>
      <c r="Q27" s="147" t="str">
        <f t="shared" ca="1" si="2"/>
        <v>CONSORCIO VÍAS PG</v>
      </c>
      <c r="R27" s="183">
        <f t="shared" ca="1" si="3"/>
        <v>8</v>
      </c>
      <c r="S27" s="195">
        <f t="shared" ca="1" si="4"/>
        <v>-1.2E-9</v>
      </c>
    </row>
    <row r="28" spans="2:19" ht="18" x14ac:dyDescent="0.2">
      <c r="B28" s="138">
        <v>13</v>
      </c>
      <c r="C28" s="139">
        <f>RESUMEN!C27</f>
        <v>28</v>
      </c>
      <c r="D28" s="111" t="str">
        <f>VLOOKUP(C28,RESUMEN!$C$15:$D$33,2,0)</f>
        <v>CONSORCIO VÍAL SAN MARTÍN</v>
      </c>
      <c r="E28" s="140">
        <f>VLOOKUP(C28,FORMULA!$C$44:$H$62,3,0)</f>
        <v>1671420931</v>
      </c>
      <c r="F28" s="219">
        <f>VLOOKUP(C28,FORMULA!$C$44:$H$62,5,0)</f>
        <v>-8.965149257445626E-3</v>
      </c>
      <c r="G28" s="197">
        <f>VLOOKUP(C28,FORMULA!$C$44:$H$62,6,0)</f>
        <v>898.43467352520202</v>
      </c>
      <c r="H28" s="141"/>
      <c r="I28" s="141">
        <f>VLOOKUP($C28,RESUMEN!$C$15:$I$33,5,FALSE)</f>
        <v>100</v>
      </c>
      <c r="J28" s="141">
        <f>VLOOKUP($C28,RESUMEN!$C$15:$I$33,6,FALSE)</f>
        <v>0</v>
      </c>
      <c r="K28" s="241">
        <f t="shared" si="5"/>
        <v>998.43467352300206</v>
      </c>
      <c r="L28" s="142">
        <v>2.1999999999999998E-9</v>
      </c>
      <c r="M28" s="182">
        <f t="shared" si="0"/>
        <v>28</v>
      </c>
      <c r="O28" s="73">
        <f t="shared" si="1"/>
        <v>4</v>
      </c>
      <c r="P28" s="146">
        <f t="shared" si="6"/>
        <v>13</v>
      </c>
      <c r="Q28" s="147" t="str">
        <f t="shared" ca="1" si="2"/>
        <v xml:space="preserve">CONSORCIO PUERTA DEL SOL </v>
      </c>
      <c r="R28" s="183">
        <f t="shared" ca="1" si="3"/>
        <v>10</v>
      </c>
      <c r="S28" s="195">
        <f t="shared" ca="1" si="4"/>
        <v>-1.3999999999999999E-9</v>
      </c>
    </row>
    <row r="29" spans="2:19" ht="18" x14ac:dyDescent="0.2">
      <c r="B29" s="138">
        <v>14</v>
      </c>
      <c r="C29" s="139">
        <f>RESUMEN!C28</f>
        <v>29</v>
      </c>
      <c r="D29" s="111" t="str">
        <f>VLOOKUP(C29,RESUMEN!$C$15:$D$33,2,0)</f>
        <v>CONSORCIO VÍAS COLOMBIA 2019</v>
      </c>
      <c r="E29" s="140" t="str">
        <f>VLOOKUP(C29,FORMULA!$C$44:$H$62,3,0)</f>
        <v>DESCARTADO</v>
      </c>
      <c r="F29" s="219" t="str">
        <f>VLOOKUP(C29,FORMULA!$C$44:$H$62,5,0)</f>
        <v>DESCARTADO</v>
      </c>
      <c r="G29" s="197" t="str">
        <f>VLOOKUP(C29,FORMULA!$C$44:$H$62,6,0)</f>
        <v>DESCARTADO</v>
      </c>
      <c r="H29" s="141"/>
      <c r="I29" s="141">
        <f>VLOOKUP($C29,RESUMEN!$C$15:$I$33,5,FALSE)</f>
        <v>100</v>
      </c>
      <c r="J29" s="141">
        <f>VLOOKUP($C29,RESUMEN!$C$15:$I$33,6,FALSE)</f>
        <v>0</v>
      </c>
      <c r="K29" s="241">
        <f t="shared" si="5"/>
        <v>-2.2999999999999999E-9</v>
      </c>
      <c r="L29" s="142">
        <v>2.2999999999999999E-9</v>
      </c>
      <c r="M29" s="182">
        <f t="shared" si="0"/>
        <v>29</v>
      </c>
      <c r="O29" s="73">
        <f t="shared" si="1"/>
        <v>18</v>
      </c>
      <c r="P29" s="146">
        <f t="shared" si="6"/>
        <v>14</v>
      </c>
      <c r="Q29" s="147" t="str">
        <f t="shared" ca="1" si="2"/>
        <v>CONSORCIO MEJORAMIENTO VIAL 2019</v>
      </c>
      <c r="R29" s="183">
        <f t="shared" ca="1" si="3"/>
        <v>15</v>
      </c>
      <c r="S29" s="195">
        <f t="shared" ca="1" si="4"/>
        <v>-1.6999999999999999E-9</v>
      </c>
    </row>
    <row r="30" spans="2:19" ht="18" x14ac:dyDescent="0.2">
      <c r="B30" s="138">
        <v>15</v>
      </c>
      <c r="C30" s="139">
        <f>RESUMEN!C29</f>
        <v>32</v>
      </c>
      <c r="D30" s="111" t="str">
        <f>VLOOKUP(C30,RESUMEN!$C$15:$D$33,2,0)</f>
        <v>CONSORCIO VÍAS AL LLANO</v>
      </c>
      <c r="E30" s="140" t="str">
        <f>VLOOKUP(C30,FORMULA!$C$44:$H$62,3,0)</f>
        <v>DESCARTADO</v>
      </c>
      <c r="F30" s="219" t="str">
        <f>VLOOKUP(C30,FORMULA!$C$44:$H$62,5,0)</f>
        <v>DESCARTADO</v>
      </c>
      <c r="G30" s="197" t="str">
        <f>VLOOKUP(C30,FORMULA!$C$44:$H$62,6,0)</f>
        <v>DESCARTADO</v>
      </c>
      <c r="H30" s="141"/>
      <c r="I30" s="141">
        <f>VLOOKUP($C30,RESUMEN!$C$15:$I$33,5,FALSE)</f>
        <v>100</v>
      </c>
      <c r="J30" s="141">
        <f>VLOOKUP($C30,RESUMEN!$C$15:$I$33,6,FALSE)</f>
        <v>0</v>
      </c>
      <c r="K30" s="241">
        <f t="shared" si="5"/>
        <v>-2.4E-9</v>
      </c>
      <c r="L30" s="142">
        <v>2.4E-9</v>
      </c>
      <c r="M30" s="182">
        <f t="shared" si="0"/>
        <v>32</v>
      </c>
      <c r="O30" s="73">
        <f t="shared" si="1"/>
        <v>19</v>
      </c>
      <c r="P30" s="146">
        <f t="shared" si="6"/>
        <v>15</v>
      </c>
      <c r="Q30" s="147" t="str">
        <f t="shared" ca="1" si="2"/>
        <v>U.T SERVICIOS E INGENIERIA COROCORO</v>
      </c>
      <c r="R30" s="183">
        <f t="shared" ca="1" si="3"/>
        <v>17</v>
      </c>
      <c r="S30" s="195">
        <f t="shared" ca="1" si="4"/>
        <v>-1.9000000000000001E-9</v>
      </c>
    </row>
    <row r="31" spans="2:19" ht="18" x14ac:dyDescent="0.2">
      <c r="B31" s="138">
        <v>16</v>
      </c>
      <c r="C31" s="139">
        <f>RESUMEN!C30</f>
        <v>34</v>
      </c>
      <c r="D31" s="111" t="str">
        <f>VLOOKUP(C31,RESUMEN!$C$15:$D$33,2,0)</f>
        <v>CONSORCIO SAN MARTÍN</v>
      </c>
      <c r="E31" s="140">
        <f>VLOOKUP(C31,FORMULA!$C$44:$H$62,3,0)</f>
        <v>1652780474</v>
      </c>
      <c r="F31" s="219">
        <f>VLOOKUP(C31,FORMULA!$C$44:$H$62,5,0)</f>
        <v>-2.0017626929671239E-2</v>
      </c>
      <c r="G31" s="197">
        <f>VLOOKUP(C31,FORMULA!$C$44:$H$62,6,0)</f>
        <v>890.73671958012039</v>
      </c>
      <c r="H31" s="141"/>
      <c r="I31" s="141">
        <f>VLOOKUP($C31,RESUMEN!$C$15:$I$33,5,FALSE)</f>
        <v>100</v>
      </c>
      <c r="J31" s="141">
        <f>VLOOKUP($C31,RESUMEN!$C$15:$I$33,6,FALSE)</f>
        <v>0</v>
      </c>
      <c r="K31" s="241">
        <f t="shared" si="5"/>
        <v>990.73671957762042</v>
      </c>
      <c r="L31" s="142">
        <v>2.5000000000000001E-9</v>
      </c>
      <c r="M31" s="182">
        <f t="shared" si="0"/>
        <v>34</v>
      </c>
      <c r="O31" s="73">
        <f t="shared" si="1"/>
        <v>9</v>
      </c>
      <c r="P31" s="146">
        <f t="shared" si="6"/>
        <v>16</v>
      </c>
      <c r="Q31" s="147" t="str">
        <f t="shared" ca="1" si="2"/>
        <v>CONSORCIO VIAL ARAUCA</v>
      </c>
      <c r="R31" s="183">
        <f t="shared" ca="1" si="3"/>
        <v>18</v>
      </c>
      <c r="S31" s="195">
        <f t="shared" ca="1" si="4"/>
        <v>-2.0000000000000001E-9</v>
      </c>
    </row>
    <row r="32" spans="2:19" ht="18" x14ac:dyDescent="0.2">
      <c r="B32" s="138">
        <v>17</v>
      </c>
      <c r="C32" s="139">
        <f>RESUMEN!C31</f>
        <v>35</v>
      </c>
      <c r="D32" s="111" t="str">
        <f>VLOOKUP(C32,RESUMEN!$C$15:$D$33,2,0)</f>
        <v>OCIEEQUIPOS SAS</v>
      </c>
      <c r="E32" s="140">
        <f>VLOOKUP(C32,FORMULA!$C$44:$H$62,3,0)</f>
        <v>1667987223</v>
      </c>
      <c r="F32" s="219">
        <f>VLOOKUP(C32,FORMULA!$C$44:$H$62,5,0)</f>
        <v>-1.1001096176715963E-2</v>
      </c>
      <c r="G32" s="197">
        <f>VLOOKUP(C32,FORMULA!$C$44:$H$62,6,0)</f>
        <v>898.93212721762507</v>
      </c>
      <c r="H32" s="141"/>
      <c r="I32" s="141">
        <f>VLOOKUP($C32,RESUMEN!$C$15:$I$33,5,FALSE)</f>
        <v>100</v>
      </c>
      <c r="J32" s="141">
        <f>VLOOKUP($C32,RESUMEN!$C$15:$I$33,6,FALSE)</f>
        <v>0</v>
      </c>
      <c r="K32" s="241">
        <f t="shared" si="5"/>
        <v>998.93212721502505</v>
      </c>
      <c r="L32" s="142">
        <v>2.6000000000000001E-9</v>
      </c>
      <c r="M32" s="182">
        <f t="shared" si="0"/>
        <v>35</v>
      </c>
      <c r="O32" s="73">
        <f t="shared" si="1"/>
        <v>3</v>
      </c>
      <c r="P32" s="146">
        <f t="shared" si="6"/>
        <v>17</v>
      </c>
      <c r="Q32" s="147" t="str">
        <f t="shared" ca="1" si="2"/>
        <v>CONSORCIO A&amp;C</v>
      </c>
      <c r="R32" s="183">
        <f t="shared" ca="1" si="3"/>
        <v>19</v>
      </c>
      <c r="S32" s="195">
        <f t="shared" ca="1" si="4"/>
        <v>-2.1000000000000002E-9</v>
      </c>
    </row>
    <row r="33" spans="2:19" ht="18" x14ac:dyDescent="0.2">
      <c r="B33" s="138">
        <v>18</v>
      </c>
      <c r="C33" s="139">
        <f>RESUMEN!C32</f>
        <v>36</v>
      </c>
      <c r="D33" s="111" t="str">
        <f>VLOOKUP(C33,RESUMEN!$C$15:$D$33,2,0)</f>
        <v>CONSORCIO INFRAESTRUCTURA VIAL</v>
      </c>
      <c r="E33" s="140">
        <f>VLOOKUP(C33,FORMULA!$C$44:$H$62,3,0)</f>
        <v>1666610907</v>
      </c>
      <c r="F33" s="219">
        <f>VLOOKUP(C33,FORMULA!$C$44:$H$62,5,0)</f>
        <v>-1.1817154595236912E-2</v>
      </c>
      <c r="G33" s="197">
        <f>VLOOKUP(C33,FORMULA!$C$44:$H$62,6,0)</f>
        <v>898.19038612240354</v>
      </c>
      <c r="H33" s="141"/>
      <c r="I33" s="141">
        <f>VLOOKUP($C33,RESUMEN!$C$15:$I$33,5,FALSE)</f>
        <v>100</v>
      </c>
      <c r="J33" s="141">
        <f>VLOOKUP($C33,RESUMEN!$C$15:$I$33,6,FALSE)</f>
        <v>0</v>
      </c>
      <c r="K33" s="241">
        <f t="shared" si="5"/>
        <v>998.19038611970359</v>
      </c>
      <c r="L33" s="142">
        <v>2.7000000000000002E-9</v>
      </c>
      <c r="M33" s="182">
        <f t="shared" si="0"/>
        <v>36</v>
      </c>
      <c r="O33" s="73">
        <f t="shared" si="1"/>
        <v>5</v>
      </c>
      <c r="P33" s="146">
        <f t="shared" si="6"/>
        <v>18</v>
      </c>
      <c r="Q33" s="147" t="str">
        <f t="shared" ca="1" si="2"/>
        <v>CONSORCIO VÍAS COLOMBIA 2019</v>
      </c>
      <c r="R33" s="183">
        <f t="shared" ca="1" si="3"/>
        <v>29</v>
      </c>
      <c r="S33" s="195">
        <f t="shared" ca="1" si="4"/>
        <v>-2.2999999999999999E-9</v>
      </c>
    </row>
    <row r="34" spans="2:19" ht="18" x14ac:dyDescent="0.2">
      <c r="B34" s="138">
        <v>19</v>
      </c>
      <c r="C34" s="139">
        <f>RESUMEN!C33</f>
        <v>37</v>
      </c>
      <c r="D34" s="111" t="str">
        <f>VLOOKUP(C34,RESUMEN!$C$15:$D$33,2,0)</f>
        <v>CONSORCIO VÍA OLIMPICA 2018</v>
      </c>
      <c r="E34" s="140">
        <f>VLOOKUP(C34,FORMULA!$C$44:$H$62,3,0)</f>
        <v>1651023429</v>
      </c>
      <c r="F34" s="219">
        <f>VLOOKUP(C34,FORMULA!$C$44:$H$62,5,0)</f>
        <v>-2.1059430820616343E-2</v>
      </c>
      <c r="G34" s="197">
        <f>VLOOKUP(C34,FORMULA!$C$44:$H$62,6,0)</f>
        <v>889.78979134368797</v>
      </c>
      <c r="H34" s="141"/>
      <c r="I34" s="141">
        <f>VLOOKUP($C34,RESUMEN!$C$15:$I$33,5,FALSE)</f>
        <v>100</v>
      </c>
      <c r="J34" s="141">
        <f>VLOOKUP($C34,RESUMEN!$C$15:$I$33,6,FALSE)</f>
        <v>0</v>
      </c>
      <c r="K34" s="241">
        <f t="shared" si="5"/>
        <v>989.78979134088797</v>
      </c>
      <c r="L34" s="142">
        <v>2.7999999999999998E-9</v>
      </c>
      <c r="M34" s="182">
        <f t="shared" si="0"/>
        <v>37</v>
      </c>
      <c r="O34" s="73">
        <f t="shared" si="1"/>
        <v>11</v>
      </c>
      <c r="P34" s="146">
        <f t="shared" si="6"/>
        <v>19</v>
      </c>
      <c r="Q34" s="147" t="str">
        <f t="shared" ca="1" si="2"/>
        <v>CONSORCIO VÍAS AL LLANO</v>
      </c>
      <c r="R34" s="183">
        <f t="shared" ca="1" si="3"/>
        <v>32</v>
      </c>
      <c r="S34" s="195">
        <f t="shared" ca="1" si="4"/>
        <v>-2.4E-9</v>
      </c>
    </row>
    <row r="35" spans="2:19" ht="7.5" customHeight="1" x14ac:dyDescent="0.2">
      <c r="B35" s="126"/>
      <c r="C35" s="126"/>
      <c r="D35" s="127"/>
      <c r="E35" s="127"/>
      <c r="F35" s="128"/>
      <c r="G35" s="129"/>
      <c r="H35" s="129"/>
      <c r="I35" s="129"/>
      <c r="J35" s="129"/>
      <c r="K35" s="130"/>
      <c r="L35" s="131"/>
    </row>
    <row r="36" spans="2:19" x14ac:dyDescent="0.2">
      <c r="P36" s="415" t="str">
        <f ca="1">IF(P13="DESCARTADO","MODULO DESIERTO","")</f>
        <v/>
      </c>
      <c r="Q36" s="415"/>
      <c r="R36" s="415"/>
      <c r="S36" s="415"/>
    </row>
    <row r="37" spans="2:19" x14ac:dyDescent="0.2">
      <c r="L37" s="414"/>
      <c r="M37" s="414"/>
      <c r="P37" s="415"/>
      <c r="Q37" s="415"/>
      <c r="R37" s="415"/>
      <c r="S37" s="415"/>
    </row>
  </sheetData>
  <sheetProtection selectLockedCells="1"/>
  <mergeCells count="28">
    <mergeCell ref="B7:K7"/>
    <mergeCell ref="B9:K9"/>
    <mergeCell ref="B10:K10"/>
    <mergeCell ref="P1:S1"/>
    <mergeCell ref="P2:S2"/>
    <mergeCell ref="P3:S3"/>
    <mergeCell ref="P4:S4"/>
    <mergeCell ref="P5:S5"/>
    <mergeCell ref="P7:S7"/>
    <mergeCell ref="P10:S10"/>
    <mergeCell ref="B1:K1"/>
    <mergeCell ref="B2:K2"/>
    <mergeCell ref="B3:K3"/>
    <mergeCell ref="B4:K4"/>
    <mergeCell ref="B5:K5"/>
    <mergeCell ref="D12:D14"/>
    <mergeCell ref="C12:C14"/>
    <mergeCell ref="B12:B14"/>
    <mergeCell ref="L37:M37"/>
    <mergeCell ref="P36:S37"/>
    <mergeCell ref="O11:O14"/>
    <mergeCell ref="P12:S12"/>
    <mergeCell ref="P13:S13"/>
    <mergeCell ref="L12:L14"/>
    <mergeCell ref="G12:J12"/>
    <mergeCell ref="K12:K13"/>
    <mergeCell ref="F12:F13"/>
    <mergeCell ref="E12:E13"/>
  </mergeCells>
  <phoneticPr fontId="4" type="noConversion"/>
  <conditionalFormatting sqref="G16:K34">
    <cfRule type="cellIs" dxfId="5" priority="22" stopIfTrue="1" operator="greaterThan">
      <formula>0</formula>
    </cfRule>
    <cfRule type="cellIs" dxfId="4" priority="23" stopIfTrue="1" operator="equal">
      <formula>0</formula>
    </cfRule>
  </conditionalFormatting>
  <conditionalFormatting sqref="L18 L20 B22:C22 B28:C28 B34:C34 K16:L16 B16:E16 L24 L30 L26 L32 L22 L28 L34 D17:E34 K17:K34 O16:S34 F16:J34">
    <cfRule type="expression" dxfId="3" priority="30" stopIfTrue="1">
      <formula>MOD(ROW(),2)</formula>
    </cfRule>
  </conditionalFormatting>
  <conditionalFormatting sqref="E17:E34 F16:G34">
    <cfRule type="cellIs" dxfId="2" priority="21" stopIfTrue="1" operator="equal">
      <formula>"DESCARTADO"</formula>
    </cfRule>
  </conditionalFormatting>
  <conditionalFormatting sqref="B17:C21 L17 L19 L21 B23:C27 B29:C33 L23 L29 L25 L31 L27 L33">
    <cfRule type="expression" dxfId="1" priority="25" stopIfTrue="1">
      <formula>MOD(ROW(),2)</formula>
    </cfRule>
  </conditionalFormatting>
  <conditionalFormatting sqref="E16">
    <cfRule type="cellIs" dxfId="0" priority="5" stopIfTrue="1" operator="equal">
      <formula>"DESCARTADO"</formula>
    </cfRule>
  </conditionalFormatting>
  <printOptions horizontalCentered="1"/>
  <pageMargins left="0.23622047244094491" right="0.23622047244094491" top="0.74803149606299213" bottom="0.74803149606299213" header="0.31496062992125984" footer="0.31496062992125984"/>
  <pageSetup scale="55" fitToWidth="0" fitToHeight="0" orientation="portrait" horizontalDpi="1200" verticalDpi="1200" r:id="rId1"/>
  <headerFooter alignWithMargins="0">
    <oddFooter>&amp;L&amp;9&amp;F
&amp;A&amp;C&amp;P de &amp;N&amp;R&amp;9INSTITUTO NACIONAL DE VIAS
&amp;D</oddFooter>
  </headerFooter>
  <rowBreaks count="1" manualBreakCount="1">
    <brk id="34" min="1" max="18"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7"/>
  <sheetViews>
    <sheetView workbookViewId="0">
      <selection activeCell="D5" sqref="D5"/>
    </sheetView>
  </sheetViews>
  <sheetFormatPr baseColWidth="10" defaultColWidth="11.42578125" defaultRowHeight="12.75" x14ac:dyDescent="0.2"/>
  <cols>
    <col min="1" max="1" width="11.42578125" style="216"/>
    <col min="2" max="2" width="85.7109375" style="216" bestFit="1" customWidth="1"/>
    <col min="3" max="3" width="14.140625" style="216" bestFit="1" customWidth="1"/>
    <col min="4" max="4" width="47.42578125" style="216" bestFit="1" customWidth="1"/>
    <col min="5" max="16384" width="11.42578125" style="216"/>
  </cols>
  <sheetData>
    <row r="1" spans="1:4" ht="15.75" thickTop="1" x14ac:dyDescent="0.2">
      <c r="A1" s="270" t="s">
        <v>19</v>
      </c>
      <c r="B1" s="271" t="s">
        <v>18</v>
      </c>
      <c r="C1" s="271" t="s">
        <v>26</v>
      </c>
      <c r="D1" s="272" t="s">
        <v>84</v>
      </c>
    </row>
    <row r="2" spans="1:4" x14ac:dyDescent="0.2">
      <c r="A2" s="62">
        <v>1</v>
      </c>
      <c r="B2" s="70"/>
      <c r="C2" s="74" t="s">
        <v>8</v>
      </c>
      <c r="D2" s="74" t="s">
        <v>85</v>
      </c>
    </row>
    <row r="3" spans="1:4" x14ac:dyDescent="0.2">
      <c r="A3" s="63">
        <v>2</v>
      </c>
      <c r="B3" s="64"/>
      <c r="C3" s="75" t="s">
        <v>7</v>
      </c>
      <c r="D3" s="75" t="s">
        <v>86</v>
      </c>
    </row>
    <row r="4" spans="1:4" ht="13.5" thickBot="1" x14ac:dyDescent="0.25">
      <c r="A4" s="62">
        <v>3</v>
      </c>
      <c r="B4" s="64"/>
      <c r="C4" s="76" t="s">
        <v>11</v>
      </c>
      <c r="D4" s="75" t="s">
        <v>102</v>
      </c>
    </row>
    <row r="5" spans="1:4" ht="13.5" thickTop="1" x14ac:dyDescent="0.2">
      <c r="A5" s="63">
        <v>4</v>
      </c>
      <c r="B5" s="64"/>
      <c r="D5" s="194" t="s">
        <v>87</v>
      </c>
    </row>
    <row r="6" spans="1:4" ht="13.5" thickBot="1" x14ac:dyDescent="0.25">
      <c r="A6" s="62">
        <v>5</v>
      </c>
      <c r="B6" s="64"/>
      <c r="D6" s="76"/>
    </row>
    <row r="7" spans="1:4" ht="13.5" thickTop="1" x14ac:dyDescent="0.2">
      <c r="A7" s="63">
        <v>6</v>
      </c>
      <c r="B7" s="64"/>
    </row>
    <row r="8" spans="1:4" x14ac:dyDescent="0.2">
      <c r="A8" s="62">
        <v>7</v>
      </c>
      <c r="B8" s="64"/>
    </row>
    <row r="9" spans="1:4" x14ac:dyDescent="0.2">
      <c r="A9" s="63">
        <v>8</v>
      </c>
      <c r="B9" s="64"/>
    </row>
    <row r="10" spans="1:4" x14ac:dyDescent="0.2">
      <c r="A10" s="67">
        <v>9</v>
      </c>
      <c r="B10" s="68"/>
    </row>
    <row r="11" spans="1:4" x14ac:dyDescent="0.2">
      <c r="A11" s="67">
        <v>10</v>
      </c>
      <c r="B11" s="69"/>
    </row>
    <row r="12" spans="1:4" x14ac:dyDescent="0.2">
      <c r="A12" s="67">
        <v>11</v>
      </c>
      <c r="B12" s="69"/>
    </row>
    <row r="13" spans="1:4" x14ac:dyDescent="0.2">
      <c r="A13" s="67">
        <v>12</v>
      </c>
      <c r="B13" s="68"/>
    </row>
    <row r="14" spans="1:4" x14ac:dyDescent="0.2">
      <c r="A14" s="67">
        <v>13</v>
      </c>
      <c r="B14" s="68"/>
    </row>
    <row r="15" spans="1:4" x14ac:dyDescent="0.2">
      <c r="A15" s="67">
        <v>14</v>
      </c>
      <c r="B15" s="68"/>
    </row>
    <row r="16" spans="1:4" ht="13.5" thickBot="1" x14ac:dyDescent="0.25">
      <c r="A16" s="65">
        <v>15</v>
      </c>
      <c r="B16" s="66"/>
    </row>
    <row r="17" ht="13.5" thickTop="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RESUMEN</vt:lpstr>
      <vt:lpstr>VR-PROP</vt:lpstr>
      <vt:lpstr>FORMULA</vt:lpstr>
      <vt:lpstr>ELEGIBILIDAD</vt:lpstr>
      <vt:lpstr>ELEGIBILIDAD!Área_de_impresión</vt:lpstr>
      <vt:lpstr>RESUMEN!Área_de_impresión</vt:lpstr>
      <vt:lpstr>'VR-PROP'!Área_de_impresión</vt:lpstr>
      <vt:lpstr>DEPENDENCIAS</vt:lpstr>
      <vt:lpstr>METEVA</vt:lpstr>
      <vt:lpstr>RESULTADO</vt:lpstr>
      <vt:lpstr>ELEGIBILIDAD!Títulos_a_imprimir</vt:lpstr>
      <vt:lpstr>FORMULA!Títulos_a_imprimir</vt:lpstr>
      <vt:lpstr>'VR-PROP'!Títulos_a_imprimir</vt:lpstr>
    </vt:vector>
  </TitlesOfParts>
  <Company>INSTITUTO NACIONAL DE VIAS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2018</dc:creator>
  <cp:lastModifiedBy>Garcia Amaya Wilson</cp:lastModifiedBy>
  <cp:lastPrinted>2012-04-17T13:34:03Z</cp:lastPrinted>
  <dcterms:created xsi:type="dcterms:W3CDTF">2003-08-04T15:33:07Z</dcterms:created>
  <dcterms:modified xsi:type="dcterms:W3CDTF">2019-11-20T21:30:24Z</dcterms:modified>
</cp:coreProperties>
</file>