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sfelipemackenzie/CB INGENIEROS Dropbox/Proyectos Ejecucion/150 Fiduprevisora PA Bavaria/11. Licitaciones abiertas/"/>
    </mc:Choice>
  </mc:AlternateContent>
  <xr:revisionPtr revIDLastSave="0" documentId="13_ncr:1_{9D239F2B-8820-4447-AD25-6492E5ED8BB4}" xr6:coauthVersionLast="45" xr6:coauthVersionMax="45" xr10:uidLastSave="{00000000-0000-0000-0000-000000000000}"/>
  <bookViews>
    <workbookView xWindow="0" yWindow="460" windowWidth="25600" windowHeight="15540" activeTab="1" xr2:uid="{FD0E01A5-E955-734D-8C9E-882C12FB7C78}"/>
  </bookViews>
  <sheets>
    <sheet name="EVALUACION" sheetId="3" r:id="rId1"/>
    <sheet name="MEDIA" sheetId="1" r:id="rId2"/>
  </sheets>
  <definedNames>
    <definedName name="_xlnm.Print_Titles" localSheetId="0">EVALUACION!$A:$D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3" l="1"/>
  <c r="K23" i="3"/>
  <c r="J23" i="3"/>
  <c r="I23" i="3"/>
  <c r="H23" i="3"/>
  <c r="G23" i="3"/>
  <c r="F23" i="3"/>
  <c r="D49" i="1"/>
  <c r="D29" i="1"/>
  <c r="H12" i="3" l="1"/>
  <c r="G12" i="3"/>
  <c r="F12" i="3"/>
  <c r="E12" i="3"/>
  <c r="H11" i="3"/>
  <c r="G11" i="3"/>
  <c r="I11" i="3" l="1"/>
  <c r="I12" i="3"/>
  <c r="N11" i="3"/>
  <c r="N12" i="3"/>
  <c r="M12" i="3"/>
  <c r="L12" i="3"/>
  <c r="K12" i="3"/>
  <c r="J12" i="3"/>
  <c r="J14" i="3" l="1"/>
  <c r="K14" i="3"/>
  <c r="N14" i="3"/>
  <c r="I14" i="3"/>
  <c r="H14" i="3"/>
  <c r="G14" i="3"/>
  <c r="I23" i="1" l="1"/>
  <c r="I22" i="1"/>
  <c r="I21" i="1"/>
  <c r="I20" i="1"/>
  <c r="I19" i="1"/>
  <c r="I18" i="1"/>
  <c r="I17" i="1"/>
  <c r="I16" i="1"/>
  <c r="I15" i="1"/>
  <c r="I14" i="1"/>
  <c r="C27" i="1" l="1"/>
  <c r="D27" i="1" s="1"/>
  <c r="C26" i="1"/>
  <c r="D26" i="1"/>
  <c r="D31" i="1" l="1"/>
  <c r="D32" i="1"/>
  <c r="D30" i="1" s="1"/>
  <c r="D50" i="1" l="1"/>
  <c r="F17" i="1" l="1"/>
  <c r="G17" i="1" s="1"/>
  <c r="F20" i="1"/>
  <c r="G20" i="1" s="1"/>
  <c r="F19" i="1"/>
  <c r="G19" i="1" s="1"/>
  <c r="F22" i="1"/>
  <c r="G22" i="1" s="1"/>
  <c r="F18" i="1"/>
  <c r="G18" i="1" s="1"/>
  <c r="F21" i="1"/>
  <c r="G21" i="1" s="1"/>
  <c r="F14" i="1"/>
  <c r="G14" i="1" s="1"/>
  <c r="F16" i="1"/>
  <c r="G16" i="1" s="1"/>
  <c r="F23" i="1"/>
  <c r="G23" i="1" s="1"/>
  <c r="F15" i="1"/>
  <c r="F14" i="3" l="1"/>
  <c r="G15" i="1"/>
  <c r="H12" i="1"/>
</calcChain>
</file>

<file path=xl/sharedStrings.xml><?xml version="1.0" encoding="utf-8"?>
<sst xmlns="http://schemas.openxmlformats.org/spreadsheetml/2006/main" count="154" uniqueCount="96">
  <si>
    <t>MEDIA GEOMÉTRICA</t>
  </si>
  <si>
    <t>1-3</t>
  </si>
  <si>
    <t>Proponentes</t>
  </si>
  <si>
    <t>4-6</t>
  </si>
  <si>
    <t>7-9</t>
  </si>
  <si>
    <t>Más de 10</t>
  </si>
  <si>
    <t>Proponentes:</t>
  </si>
  <si>
    <t>No.</t>
  </si>
  <si>
    <t>Valor:</t>
  </si>
  <si>
    <t>Índice:</t>
  </si>
  <si>
    <t>nv:</t>
  </si>
  <si>
    <t>n:</t>
  </si>
  <si>
    <t>GPO:</t>
  </si>
  <si>
    <t>Puntaje</t>
  </si>
  <si>
    <t>Mayor o menor</t>
  </si>
  <si>
    <t>Fabrica y suministros DL</t>
  </si>
  <si>
    <t>INMEMA</t>
  </si>
  <si>
    <t>Inversines Guerfor</t>
  </si>
  <si>
    <t>DOTAESCOL</t>
  </si>
  <si>
    <t>NUEVA ERA</t>
  </si>
  <si>
    <t>SUMAPAZ</t>
  </si>
  <si>
    <t>TECNOMUSIC</t>
  </si>
  <si>
    <t>Manofacturas el lider</t>
  </si>
  <si>
    <t>Presupuesto Oficial</t>
  </si>
  <si>
    <t>Máximo</t>
  </si>
  <si>
    <t>P.A. BAVARIA 333</t>
  </si>
  <si>
    <t>CONDICIONES HABILITANTES</t>
  </si>
  <si>
    <t>1) Ejecución en los últimos cinco años de proyectos de dotación de mobiliario y/o dotación educativa para Instituciones educativas, comerciales, empresariales, carcelarias u hoteleras.</t>
  </si>
  <si>
    <t>CUMPLE</t>
  </si>
  <si>
    <t>2) El monto de los contratos presentados, máximo en 3 certificaciones, para cumplir con esta condición debe sumar al menos una (1) vez el monto estimado para este proyecto.</t>
  </si>
  <si>
    <t>3) Cumplir con los siguientes indicadores financieros a diciembre de 2018, para garantizar la ejecución del presente proyecto.</t>
  </si>
  <si>
    <t>Nivel de Endeudamiento: Menor o igual al 50%.</t>
  </si>
  <si>
    <t>Capital de Trabajo: Mayor o igual al presupuesto.</t>
  </si>
  <si>
    <t>CONDICIONES PONDERABLES (1000 puntos)</t>
  </si>
  <si>
    <t>PUNTAJE</t>
  </si>
  <si>
    <t>Ejecución en los últimos cinco años de proyectos de dotación de mobiliario escolar.</t>
  </si>
  <si>
    <t>200 puntos por cada contrato hasta 600 puntos.</t>
  </si>
  <si>
    <t>Contrato 1</t>
  </si>
  <si>
    <t>Contrato 2</t>
  </si>
  <si>
    <t>Contrato 3</t>
  </si>
  <si>
    <t>Contrato 4</t>
  </si>
  <si>
    <t>Contrato 5</t>
  </si>
  <si>
    <t>Contrato 6</t>
  </si>
  <si>
    <t>300 puntos.</t>
  </si>
  <si>
    <t>Apoyo a la industria Nacional.</t>
  </si>
  <si>
    <t>100 puntos.</t>
  </si>
  <si>
    <t>VALOR</t>
  </si>
  <si>
    <t>Resultado Final</t>
  </si>
  <si>
    <t>Comité evaluador:</t>
  </si>
  <si>
    <t>Media.Geom</t>
  </si>
  <si>
    <t>Error</t>
  </si>
  <si>
    <t>Número de veces que el prosuepusto oficial entra a la media (n)</t>
  </si>
  <si>
    <t>Propuesta Mayor puntaje en la evaluación económica.</t>
  </si>
  <si>
    <t xml:space="preserve">Puesto </t>
  </si>
  <si>
    <t>Proveedor</t>
  </si>
  <si>
    <t>MINTIC - 29/02/2016 - $ 21.562.274.208 CUMPLE</t>
  </si>
  <si>
    <t>CARVAJAL Soluciones Educativas - 30/11/2016 - $ 6.454.538.356 CUMPLE</t>
  </si>
  <si>
    <t>Verano Energy Limited - 29/07/2019 - $ 237.125.204 CUMPLE</t>
  </si>
  <si>
    <t>NO CUMPLE</t>
  </si>
  <si>
    <t>Unidad para la Atención y reparación integral de víctimas - 22/11/2018 - $ 1.963.711.781,92 - CUMPLE</t>
  </si>
  <si>
    <t>Alcaldía de Medellín - 30/12/2017 - $435.085.535 - CUMPLE</t>
  </si>
  <si>
    <t>Alcaldía de Manizales - 31/12/2018 - $ 335.271.817,58 - CUMPLE</t>
  </si>
  <si>
    <t>GOBERNACIÓN DEL HUILA - 29/04/2016 - $ 626.051.503 - CUMPLE</t>
  </si>
  <si>
    <t>COMFAMILIAR - 28/11/2017 - $ 807.886.240 - CUMPLE</t>
  </si>
  <si>
    <t>Universidad Surcolombiana - 21/05/2015 - $ 239.816.980 - CUMPLE</t>
  </si>
  <si>
    <t>ALCALDÍA DE CHÍA - 29/12/2017 - $ 1.306.766.370 - CUMPLE</t>
  </si>
  <si>
    <t>Secretaría de Educación de Bogotá - 12/07/2018 - $ 1.280.000.000 - CUMPLE</t>
  </si>
  <si>
    <t>Gobernación del Guainía - 21/07/2015 - $ 1.498.760.600 - CUMPLE</t>
  </si>
  <si>
    <t>Alcaldía de Villavicencio - 20/03/2018 - $ 2.690.873.505,29- CUMPLE</t>
  </si>
  <si>
    <t>Gobernación del Huila - 08/04/2016 - $ 1.996.053.760 - CUMPLE</t>
  </si>
  <si>
    <t>Gobernación del Huila - 03/02/2017 - $ 1.045.036.703,94 - CUMPLE</t>
  </si>
  <si>
    <t>ALCALDÍA DE MEDELLÍN - $872.949.938 - 30/12/2016 CUMPLE</t>
  </si>
  <si>
    <t>SED - $5.300.000.000 - 31/08/2016 CUMPLE</t>
  </si>
  <si>
    <t>ALCALDÍA MUNICIPAL DE PASTO - $2.299.619.952,28 - 27/12/2018 CUMPLE</t>
  </si>
  <si>
    <t>SED - $5.456.470.719 - 30/07/2017 CUMPLE</t>
  </si>
  <si>
    <t>ALCALDÍA MUNICIPAL DE PASTO - $1.354.605.441 - 30/07/2017 CUMPLE</t>
  </si>
  <si>
    <t>SENA BUENAVENTURA - $ 976.400.808 - 28/12/2018 CUMPLE</t>
  </si>
  <si>
    <t>SENA RISARALDA - $ 314.600.000 - 20/11/2017 CUMPLE</t>
  </si>
  <si>
    <t>EJERCITO NACIONAL - $ 705.000.000 - 11/12/2017 CUMPLE</t>
  </si>
  <si>
    <t>OBSERVACIONES</t>
  </si>
  <si>
    <t>Solo se presentan dos (2) contratos para la condiciones ponderables.</t>
  </si>
  <si>
    <t>Con los contratos que presentan solo cumplen con la experiencia Habilitante.</t>
  </si>
  <si>
    <t>Licitación 008 - Mobiliario</t>
  </si>
  <si>
    <t>Andrés Felipe Mackenzie Fuentes</t>
  </si>
  <si>
    <t>Miguel Ángel Salgado Pacheco</t>
  </si>
  <si>
    <t>Hardware Asesorías Software Ltda.</t>
  </si>
  <si>
    <t>Inversiones Guerfor</t>
  </si>
  <si>
    <t>COLSISTEC</t>
  </si>
  <si>
    <t>Manufacturas el Líder</t>
  </si>
  <si>
    <t>ALCALDÍA DE FUNZA - $1.438.290.183 - 26/12/2018 CUMPLE</t>
  </si>
  <si>
    <t>ALCALDÍA MAYOR DE BOGOTÁ -SED - $44.996.233 - 22/07/2015 CUMPLE</t>
  </si>
  <si>
    <t>ALCALDÍA DE BUCARAMANGA - $896.900.667- 28/05/2018 CUMPLE</t>
  </si>
  <si>
    <t>Inhabilitado - No cumple indicadores financieros</t>
  </si>
  <si>
    <t>No Cumple</t>
  </si>
  <si>
    <t>Inhabilitado - Se pasa del presuepusto oficial</t>
  </si>
  <si>
    <t>Inhabilitado - No cumple con la experiencia habilitante para 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</si>
</sst>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6" formatCode="&quot;$&quot;#,##0"/>
    <numFmt numFmtId="167" formatCode="0.00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i/>
      <sz val="12"/>
      <color rgb="FF7030A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16" fontId="2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2" fillId="0" borderId="0" xfId="1" applyNumberFormat="1" applyFont="1"/>
    <xf numFmtId="0" fontId="4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2" xfId="0" applyFont="1" applyBorder="1" applyAlignment="1">
      <alignment horizontal="left" wrapText="1"/>
    </xf>
    <xf numFmtId="164" fontId="2" fillId="0" borderId="3" xfId="1" applyNumberFormat="1" applyFont="1" applyBorder="1" applyAlignment="1">
      <alignment vertical="center"/>
    </xf>
    <xf numFmtId="10" fontId="2" fillId="0" borderId="0" xfId="3" applyNumberFormat="1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0" fontId="2" fillId="0" borderId="2" xfId="0" applyFont="1" applyBorder="1"/>
    <xf numFmtId="164" fontId="2" fillId="0" borderId="3" xfId="1" applyNumberFormat="1" applyFont="1" applyBorder="1"/>
    <xf numFmtId="0" fontId="2" fillId="0" borderId="34" xfId="0" applyFont="1" applyBorder="1"/>
    <xf numFmtId="164" fontId="2" fillId="0" borderId="35" xfId="1" applyNumberFormat="1" applyFont="1" applyBorder="1"/>
    <xf numFmtId="0" fontId="2" fillId="0" borderId="20" xfId="0" applyFont="1" applyBorder="1"/>
    <xf numFmtId="164" fontId="2" fillId="0" borderId="21" xfId="1" applyNumberFormat="1" applyFont="1" applyBorder="1"/>
    <xf numFmtId="0" fontId="5" fillId="0" borderId="36" xfId="0" applyFont="1" applyBorder="1"/>
    <xf numFmtId="164" fontId="5" fillId="0" borderId="37" xfId="1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5" borderId="0" xfId="0" applyFont="1" applyFill="1" applyAlignment="1">
      <alignment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0" fontId="7" fillId="0" borderId="24" xfId="3" applyNumberFormat="1" applyFont="1" applyBorder="1" applyAlignment="1">
      <alignment horizontal="center" vertical="center"/>
    </xf>
    <xf numFmtId="10" fontId="7" fillId="0" borderId="12" xfId="3" applyNumberFormat="1" applyFont="1" applyBorder="1" applyAlignment="1">
      <alignment horizontal="center" vertical="center"/>
    </xf>
    <xf numFmtId="9" fontId="7" fillId="0" borderId="12" xfId="3" applyFont="1" applyBorder="1" applyAlignment="1">
      <alignment horizontal="center" vertical="center"/>
    </xf>
    <xf numFmtId="10" fontId="7" fillId="0" borderId="25" xfId="3" applyNumberFormat="1" applyFont="1" applyBorder="1" applyAlignment="1">
      <alignment horizontal="center" vertical="center"/>
    </xf>
    <xf numFmtId="166" fontId="7" fillId="0" borderId="26" xfId="0" applyNumberFormat="1" applyFont="1" applyBorder="1" applyAlignment="1">
      <alignment horizontal="center" vertical="center"/>
    </xf>
    <xf numFmtId="166" fontId="7" fillId="0" borderId="14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167" fontId="8" fillId="4" borderId="20" xfId="0" applyNumberFormat="1" applyFont="1" applyFill="1" applyBorder="1" applyAlignment="1">
      <alignment horizontal="center" vertical="center"/>
    </xf>
    <xf numFmtId="166" fontId="7" fillId="0" borderId="24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 wrapText="1"/>
    </xf>
    <xf numFmtId="166" fontId="7" fillId="0" borderId="10" xfId="0" applyNumberFormat="1" applyFont="1" applyBorder="1" applyAlignment="1">
      <alignment horizontal="center" vertical="center"/>
    </xf>
    <xf numFmtId="166" fontId="7" fillId="0" borderId="23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 wrapText="1"/>
    </xf>
    <xf numFmtId="166" fontId="7" fillId="0" borderId="25" xfId="0" applyNumberFormat="1" applyFont="1" applyBorder="1" applyAlignment="1">
      <alignment horizontal="center" vertical="center"/>
    </xf>
    <xf numFmtId="166" fontId="7" fillId="0" borderId="24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166" fontId="7" fillId="0" borderId="29" xfId="0" applyNumberFormat="1" applyFont="1" applyBorder="1" applyAlignment="1">
      <alignment horizontal="center" vertical="center"/>
    </xf>
    <xf numFmtId="167" fontId="7" fillId="0" borderId="24" xfId="0" applyNumberFormat="1" applyFont="1" applyBorder="1" applyAlignment="1">
      <alignment horizontal="center" vertical="center"/>
    </xf>
    <xf numFmtId="167" fontId="7" fillId="0" borderId="12" xfId="0" applyNumberFormat="1" applyFont="1" applyBorder="1" applyAlignment="1">
      <alignment horizontal="center" vertical="center"/>
    </xf>
    <xf numFmtId="167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31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6" fontId="7" fillId="0" borderId="32" xfId="0" applyNumberFormat="1" applyFont="1" applyBorder="1" applyAlignment="1">
      <alignment horizontal="center" vertical="center"/>
    </xf>
    <xf numFmtId="166" fontId="7" fillId="0" borderId="18" xfId="0" applyNumberFormat="1" applyFont="1" applyBorder="1" applyAlignment="1">
      <alignment horizontal="center" vertical="center"/>
    </xf>
    <xf numFmtId="166" fontId="7" fillId="0" borderId="33" xfId="0" applyNumberFormat="1" applyFont="1" applyBorder="1" applyAlignment="1">
      <alignment horizontal="center" vertical="center"/>
    </xf>
    <xf numFmtId="166" fontId="7" fillId="0" borderId="0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7" fillId="0" borderId="11" xfId="0" applyFont="1" applyBorder="1" applyAlignment="1">
      <alignment horizontal="justify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justify" vertical="center"/>
    </xf>
    <xf numFmtId="0" fontId="7" fillId="0" borderId="14" xfId="0" applyFont="1" applyBorder="1" applyAlignment="1">
      <alignment vertical="center"/>
    </xf>
    <xf numFmtId="0" fontId="8" fillId="4" borderId="8" xfId="0" applyFont="1" applyFill="1" applyBorder="1" applyAlignment="1">
      <alignment horizontal="justify" vertical="center"/>
    </xf>
    <xf numFmtId="0" fontId="8" fillId="4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justify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3" borderId="16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66" fontId="7" fillId="2" borderId="18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2" borderId="34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164" fontId="9" fillId="0" borderId="21" xfId="1" applyNumberFormat="1" applyFont="1" applyBorder="1"/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3" fontId="2" fillId="0" borderId="0" xfId="2" applyNumberFormat="1" applyFont="1" applyAlignment="1">
      <alignment horizontal="center" vertical="center"/>
    </xf>
    <xf numFmtId="43" fontId="6" fillId="0" borderId="5" xfId="0" applyNumberFormat="1" applyFont="1" applyBorder="1" applyAlignment="1">
      <alignment horizontal="center"/>
    </xf>
    <xf numFmtId="2" fontId="2" fillId="5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2" fontId="7" fillId="2" borderId="35" xfId="0" applyNumberFormat="1" applyFont="1" applyFill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132080</xdr:colOff>
      <xdr:row>26</xdr:row>
      <xdr:rowOff>81280</xdr:rowOff>
    </xdr:from>
    <xdr:to>
      <xdr:col>10</xdr:col>
      <xdr:colOff>568960</xdr:colOff>
      <xdr:row>38</xdr:row>
      <xdr:rowOff>162560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7844C3-F07A-AE4D-887D-84728A4B7769}"/>
            </a:ext>
          </a:extLst>
        </xdr:cNvPr>
        <xdr:cNvSpPr txBox="1"/>
      </xdr:nvSpPr>
      <xdr:spPr>
        <a:xfrm>
          <a:off x="3352800" y="7233920"/>
          <a:ext cx="5720080" cy="251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es-ES_tradnl" sz="1800" baseline="0">
              <a:latin typeface="Arial" panose="020B0604020202020204" pitchFamily="34" charset="0"/>
              <a:cs typeface="Arial" panose="020B0604020202020204" pitchFamily="34" charset="0"/>
            </a:rPr>
            <a:t> media geométrica se calcula de manera manual en la celda D29 y comprueba de manera automática con la fórmula de Excel MEDIA.GEOM en la celda D49 y se arroja el error obtenido en la celda D50.</a:t>
          </a:r>
        </a:p>
        <a:p>
          <a:endParaRPr lang="es-ES_tradnl" sz="1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_tradnl" sz="1800" baseline="0">
              <a:latin typeface="Arial" panose="020B0604020202020204" pitchFamily="34" charset="0"/>
              <a:cs typeface="Arial" panose="020B0604020202020204" pitchFamily="34" charset="0"/>
            </a:rPr>
            <a:t>Luego de aplicar las fórmulas contenidas en los términos de referencia a cada proponente, el ganador es el que más se acerque a al puntaje dado a la oferta económica que es de 300 puntos.</a:t>
          </a:r>
          <a:endParaRPr lang="es-ES_tradnl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8423-8AD3-0048-9A2A-D7950A9C6A4A}">
  <dimension ref="B2:N53"/>
  <sheetViews>
    <sheetView showGridLines="0" view="pageBreakPreview" zoomScale="60" zoomScaleNormal="75" workbookViewId="0">
      <selection activeCell="H34" sqref="H34"/>
    </sheetView>
  </sheetViews>
  <sheetFormatPr baseColWidth="10" defaultRowHeight="13" x14ac:dyDescent="0.2"/>
  <cols>
    <col min="1" max="1" width="4.5" style="32" customWidth="1"/>
    <col min="2" max="2" width="44.1640625" style="32" customWidth="1"/>
    <col min="3" max="3" width="26" style="32" customWidth="1"/>
    <col min="4" max="4" width="10.6640625" style="32" bestFit="1" customWidth="1"/>
    <col min="5" max="14" width="35.5" style="32" customWidth="1"/>
    <col min="15" max="16384" width="10.83203125" style="32"/>
  </cols>
  <sheetData>
    <row r="2" spans="2:14" x14ac:dyDescent="0.2">
      <c r="B2" s="84" t="s">
        <v>25</v>
      </c>
    </row>
    <row r="3" spans="2:14" x14ac:dyDescent="0.2">
      <c r="B3" s="84"/>
    </row>
    <row r="4" spans="2:14" ht="55" customHeight="1" thickBot="1" x14ac:dyDescent="0.25">
      <c r="B4" s="85" t="s">
        <v>82</v>
      </c>
      <c r="C4" s="86"/>
      <c r="D4" s="86"/>
      <c r="E4" s="33" t="s">
        <v>85</v>
      </c>
      <c r="F4" s="33" t="s">
        <v>15</v>
      </c>
      <c r="G4" s="33" t="s">
        <v>86</v>
      </c>
      <c r="H4" s="33" t="s">
        <v>18</v>
      </c>
      <c r="I4" s="33" t="s">
        <v>16</v>
      </c>
      <c r="J4" s="33" t="s">
        <v>19</v>
      </c>
      <c r="K4" s="33" t="s">
        <v>20</v>
      </c>
      <c r="L4" s="33" t="s">
        <v>87</v>
      </c>
      <c r="M4" s="33" t="s">
        <v>21</v>
      </c>
      <c r="N4" s="33" t="s">
        <v>88</v>
      </c>
    </row>
    <row r="5" spans="2:14" ht="5" customHeight="1" x14ac:dyDescent="0.2">
      <c r="B5" s="87"/>
      <c r="C5" s="88"/>
      <c r="D5" s="88"/>
      <c r="E5" s="34"/>
      <c r="F5" s="35"/>
      <c r="G5" s="35"/>
      <c r="H5" s="35"/>
      <c r="I5" s="35"/>
      <c r="J5" s="35"/>
      <c r="K5" s="35"/>
      <c r="L5" s="35"/>
      <c r="M5" s="35"/>
      <c r="N5" s="36"/>
    </row>
    <row r="6" spans="2:14" s="84" customFormat="1" x14ac:dyDescent="0.2">
      <c r="B6" s="89" t="s">
        <v>26</v>
      </c>
      <c r="C6" s="90"/>
      <c r="D6" s="90"/>
      <c r="E6" s="37"/>
      <c r="F6" s="38"/>
      <c r="G6" s="38"/>
      <c r="H6" s="38"/>
      <c r="I6" s="38"/>
      <c r="J6" s="38"/>
      <c r="K6" s="38"/>
      <c r="L6" s="38"/>
      <c r="M6" s="38"/>
      <c r="N6" s="39"/>
    </row>
    <row r="7" spans="2:14" ht="5" customHeight="1" x14ac:dyDescent="0.2">
      <c r="B7" s="87"/>
      <c r="C7" s="88"/>
      <c r="D7" s="88"/>
      <c r="E7" s="34"/>
      <c r="F7" s="35"/>
      <c r="G7" s="35"/>
      <c r="H7" s="35"/>
      <c r="I7" s="35"/>
      <c r="J7" s="35"/>
      <c r="K7" s="35"/>
      <c r="L7" s="35"/>
      <c r="M7" s="35"/>
      <c r="N7" s="36"/>
    </row>
    <row r="8" spans="2:14" ht="35" customHeight="1" x14ac:dyDescent="0.2">
      <c r="B8" s="118" t="s">
        <v>27</v>
      </c>
      <c r="C8" s="119"/>
      <c r="D8" s="119"/>
      <c r="E8" s="40" t="s">
        <v>58</v>
      </c>
      <c r="F8" s="41" t="s">
        <v>28</v>
      </c>
      <c r="G8" s="41" t="s">
        <v>28</v>
      </c>
      <c r="H8" s="41" t="s">
        <v>28</v>
      </c>
      <c r="I8" s="41" t="s">
        <v>28</v>
      </c>
      <c r="J8" s="41" t="s">
        <v>28</v>
      </c>
      <c r="K8" s="41" t="s">
        <v>28</v>
      </c>
      <c r="L8" s="41" t="s">
        <v>28</v>
      </c>
      <c r="M8" s="41" t="s">
        <v>28</v>
      </c>
      <c r="N8" s="42" t="s">
        <v>28</v>
      </c>
    </row>
    <row r="9" spans="2:14" ht="35" customHeight="1" x14ac:dyDescent="0.2">
      <c r="B9" s="120" t="s">
        <v>29</v>
      </c>
      <c r="C9" s="121"/>
      <c r="D9" s="121"/>
      <c r="E9" s="43" t="s">
        <v>28</v>
      </c>
      <c r="F9" s="44" t="s">
        <v>28</v>
      </c>
      <c r="G9" s="44" t="s">
        <v>28</v>
      </c>
      <c r="H9" s="44" t="s">
        <v>28</v>
      </c>
      <c r="I9" s="44" t="s">
        <v>28</v>
      </c>
      <c r="J9" s="44" t="s">
        <v>28</v>
      </c>
      <c r="K9" s="44" t="s">
        <v>28</v>
      </c>
      <c r="L9" s="44" t="s">
        <v>28</v>
      </c>
      <c r="M9" s="44" t="s">
        <v>28</v>
      </c>
      <c r="N9" s="45" t="s">
        <v>28</v>
      </c>
    </row>
    <row r="10" spans="2:14" ht="35" customHeight="1" x14ac:dyDescent="0.2">
      <c r="B10" s="120" t="s">
        <v>30</v>
      </c>
      <c r="C10" s="121"/>
      <c r="D10" s="121"/>
      <c r="E10" s="43" t="s">
        <v>28</v>
      </c>
      <c r="F10" s="44" t="s">
        <v>28</v>
      </c>
      <c r="G10" s="44" t="s">
        <v>28</v>
      </c>
      <c r="H10" s="44" t="s">
        <v>28</v>
      </c>
      <c r="I10" s="44" t="s">
        <v>28</v>
      </c>
      <c r="J10" s="44" t="s">
        <v>28</v>
      </c>
      <c r="K10" s="44" t="s">
        <v>28</v>
      </c>
      <c r="L10" s="44" t="s">
        <v>58</v>
      </c>
      <c r="M10" s="44" t="s">
        <v>28</v>
      </c>
      <c r="N10" s="45" t="s">
        <v>28</v>
      </c>
    </row>
    <row r="11" spans="2:14" ht="14" x14ac:dyDescent="0.2">
      <c r="B11" s="91" t="s">
        <v>31</v>
      </c>
      <c r="C11" s="92"/>
      <c r="D11" s="92"/>
      <c r="E11" s="46">
        <v>0.28999999999999998</v>
      </c>
      <c r="F11" s="47">
        <v>0.09</v>
      </c>
      <c r="G11" s="47">
        <f>(19813721*1000)/(39811380*1000)</f>
        <v>0.49768988163685862</v>
      </c>
      <c r="H11" s="48">
        <f>6149297145/19109766560</f>
        <v>0.32178818750572952</v>
      </c>
      <c r="I11" s="47">
        <f>7724955768/15979090539</f>
        <v>0.48344151684639253</v>
      </c>
      <c r="J11" s="47">
        <v>0.48</v>
      </c>
      <c r="K11" s="47">
        <v>0.13</v>
      </c>
      <c r="L11" s="47">
        <v>0.45</v>
      </c>
      <c r="M11" s="47">
        <v>0.39</v>
      </c>
      <c r="N11" s="49">
        <f>648047415/3023121682</f>
        <v>0.21436365557448309</v>
      </c>
    </row>
    <row r="12" spans="2:14" ht="14" x14ac:dyDescent="0.2">
      <c r="B12" s="93" t="s">
        <v>32</v>
      </c>
      <c r="C12" s="94"/>
      <c r="D12" s="94"/>
      <c r="E12" s="50">
        <f>5643063000-730416000</f>
        <v>4912647000</v>
      </c>
      <c r="F12" s="51">
        <f>2403754947-181049000</f>
        <v>2222705947</v>
      </c>
      <c r="G12" s="51">
        <f>(25311316*1000)-(11060214*1000)</f>
        <v>14251102000</v>
      </c>
      <c r="H12" s="51">
        <f>9087825774-4614020841</f>
        <v>4473804933</v>
      </c>
      <c r="I12" s="51">
        <f>6509126452-3213809093</f>
        <v>3295317359</v>
      </c>
      <c r="J12" s="51">
        <f>11240311061-3553063221</f>
        <v>7687247840</v>
      </c>
      <c r="K12" s="51">
        <f>4453206475-1198154071</f>
        <v>3255052404</v>
      </c>
      <c r="L12" s="51">
        <f>1624170000-623026000</f>
        <v>1001144000</v>
      </c>
      <c r="M12" s="51">
        <f>5464793077-1794292829</f>
        <v>3670500248</v>
      </c>
      <c r="N12" s="52">
        <f>2374375819-280856323</f>
        <v>2093519496</v>
      </c>
    </row>
    <row r="13" spans="2:14" ht="5" customHeight="1" x14ac:dyDescent="0.2">
      <c r="B13" s="87"/>
      <c r="C13" s="88"/>
      <c r="D13" s="88"/>
      <c r="E13" s="34"/>
      <c r="F13" s="35"/>
      <c r="G13" s="35"/>
      <c r="H13" s="35"/>
      <c r="I13" s="35"/>
      <c r="J13" s="35"/>
      <c r="K13" s="35"/>
      <c r="L13" s="35"/>
      <c r="M13" s="35"/>
      <c r="N13" s="36"/>
    </row>
    <row r="14" spans="2:14" ht="14" x14ac:dyDescent="0.2">
      <c r="B14" s="95" t="s">
        <v>33</v>
      </c>
      <c r="C14" s="96" t="s">
        <v>34</v>
      </c>
      <c r="D14" s="96"/>
      <c r="E14" s="53" t="s">
        <v>58</v>
      </c>
      <c r="F14" s="129">
        <f>+F22+F23+F24</f>
        <v>996.36797515067997</v>
      </c>
      <c r="G14" s="129">
        <f>+G22+G23+G24</f>
        <v>998.33893112376563</v>
      </c>
      <c r="H14" s="129">
        <f t="shared" ref="H14:I14" si="0">+H22+H23+H24</f>
        <v>996.80579244630792</v>
      </c>
      <c r="I14" s="129">
        <f t="shared" si="0"/>
        <v>998.79985571763018</v>
      </c>
      <c r="J14" s="129">
        <f t="shared" ref="J14:N14" si="1">+J22+J23+J24</f>
        <v>997.64999433981666</v>
      </c>
      <c r="K14" s="129">
        <f t="shared" si="1"/>
        <v>999.01465601086556</v>
      </c>
      <c r="L14" s="129"/>
      <c r="M14" s="129"/>
      <c r="N14" s="130">
        <f t="shared" si="1"/>
        <v>997.88378423449694</v>
      </c>
    </row>
    <row r="15" spans="2:14" ht="5" customHeight="1" x14ac:dyDescent="0.2">
      <c r="B15" s="87"/>
      <c r="C15" s="88"/>
      <c r="D15" s="88"/>
      <c r="E15" s="34"/>
      <c r="F15" s="35"/>
      <c r="G15" s="35"/>
      <c r="H15" s="35"/>
      <c r="I15" s="35"/>
      <c r="J15" s="35"/>
      <c r="K15" s="35"/>
      <c r="L15" s="35"/>
      <c r="M15" s="35"/>
      <c r="N15" s="36"/>
    </row>
    <row r="16" spans="2:14" ht="42" x14ac:dyDescent="0.2">
      <c r="B16" s="97" t="s">
        <v>35</v>
      </c>
      <c r="C16" s="98" t="s">
        <v>36</v>
      </c>
      <c r="D16" s="99" t="s">
        <v>37</v>
      </c>
      <c r="E16" s="54" t="s">
        <v>89</v>
      </c>
      <c r="F16" s="55" t="s">
        <v>76</v>
      </c>
      <c r="G16" s="55" t="s">
        <v>90</v>
      </c>
      <c r="H16" s="55" t="s">
        <v>71</v>
      </c>
      <c r="I16" s="55" t="s">
        <v>68</v>
      </c>
      <c r="J16" s="55" t="s">
        <v>55</v>
      </c>
      <c r="K16" s="55" t="s">
        <v>59</v>
      </c>
      <c r="L16" s="56" t="s">
        <v>58</v>
      </c>
      <c r="M16" s="55" t="s">
        <v>62</v>
      </c>
      <c r="N16" s="57" t="s">
        <v>65</v>
      </c>
    </row>
    <row r="17" spans="2:14" ht="28" x14ac:dyDescent="0.2">
      <c r="B17" s="91"/>
      <c r="C17" s="100"/>
      <c r="D17" s="101" t="s">
        <v>38</v>
      </c>
      <c r="E17" s="54" t="s">
        <v>91</v>
      </c>
      <c r="F17" s="58" t="s">
        <v>77</v>
      </c>
      <c r="G17" s="58" t="s">
        <v>72</v>
      </c>
      <c r="H17" s="58" t="s">
        <v>73</v>
      </c>
      <c r="I17" s="58" t="s">
        <v>69</v>
      </c>
      <c r="J17" s="58" t="s">
        <v>56</v>
      </c>
      <c r="K17" s="58" t="s">
        <v>60</v>
      </c>
      <c r="L17" s="59" t="s">
        <v>58</v>
      </c>
      <c r="M17" s="58" t="s">
        <v>63</v>
      </c>
      <c r="N17" s="60" t="s">
        <v>66</v>
      </c>
    </row>
    <row r="18" spans="2:14" ht="28" x14ac:dyDescent="0.2">
      <c r="B18" s="91"/>
      <c r="C18" s="100"/>
      <c r="D18" s="101" t="s">
        <v>39</v>
      </c>
      <c r="E18" s="54"/>
      <c r="F18" s="58" t="s">
        <v>78</v>
      </c>
      <c r="G18" s="58" t="s">
        <v>74</v>
      </c>
      <c r="H18" s="58" t="s">
        <v>75</v>
      </c>
      <c r="I18" s="58" t="s">
        <v>70</v>
      </c>
      <c r="J18" s="58" t="s">
        <v>57</v>
      </c>
      <c r="K18" s="58" t="s">
        <v>61</v>
      </c>
      <c r="L18" s="59" t="s">
        <v>58</v>
      </c>
      <c r="M18" s="58" t="s">
        <v>64</v>
      </c>
      <c r="N18" s="60" t="s">
        <v>67</v>
      </c>
    </row>
    <row r="19" spans="2:14" ht="14" x14ac:dyDescent="0.2">
      <c r="B19" s="91"/>
      <c r="C19" s="100"/>
      <c r="D19" s="101" t="s">
        <v>40</v>
      </c>
      <c r="E19" s="62"/>
      <c r="F19" s="59"/>
      <c r="G19" s="59"/>
      <c r="H19" s="59"/>
      <c r="I19" s="59"/>
      <c r="J19" s="59"/>
      <c r="K19" s="59"/>
      <c r="L19" s="59"/>
      <c r="M19" s="59"/>
      <c r="N19" s="61"/>
    </row>
    <row r="20" spans="2:14" ht="14" x14ac:dyDescent="0.2">
      <c r="B20" s="91"/>
      <c r="C20" s="100"/>
      <c r="D20" s="101" t="s">
        <v>41</v>
      </c>
      <c r="E20" s="62"/>
      <c r="F20" s="59"/>
      <c r="G20" s="59"/>
      <c r="H20" s="59"/>
      <c r="I20" s="59"/>
      <c r="J20" s="59"/>
      <c r="K20" s="59"/>
      <c r="L20" s="59"/>
      <c r="M20" s="59"/>
      <c r="N20" s="61"/>
    </row>
    <row r="21" spans="2:14" ht="15" thickBot="1" x14ac:dyDescent="0.25">
      <c r="B21" s="91"/>
      <c r="C21" s="100"/>
      <c r="D21" s="102" t="s">
        <v>42</v>
      </c>
      <c r="E21" s="63"/>
      <c r="F21" s="64"/>
      <c r="G21" s="64"/>
      <c r="H21" s="64"/>
      <c r="I21" s="64"/>
      <c r="J21" s="64"/>
      <c r="K21" s="64"/>
      <c r="L21" s="64"/>
      <c r="M21" s="64"/>
      <c r="N21" s="65"/>
    </row>
    <row r="22" spans="2:14" ht="14" x14ac:dyDescent="0.2">
      <c r="B22" s="91"/>
      <c r="C22" s="100"/>
      <c r="D22" s="99" t="s">
        <v>13</v>
      </c>
      <c r="E22" s="40">
        <v>400</v>
      </c>
      <c r="F22" s="41">
        <v>600</v>
      </c>
      <c r="G22" s="41">
        <v>600</v>
      </c>
      <c r="H22" s="41">
        <v>600</v>
      </c>
      <c r="I22" s="41">
        <v>600</v>
      </c>
      <c r="J22" s="41">
        <v>600</v>
      </c>
      <c r="K22" s="41">
        <v>600</v>
      </c>
      <c r="L22" s="41">
        <v>0</v>
      </c>
      <c r="M22" s="41">
        <v>600</v>
      </c>
      <c r="N22" s="42">
        <v>600</v>
      </c>
    </row>
    <row r="23" spans="2:14" ht="28" x14ac:dyDescent="0.2">
      <c r="B23" s="91" t="s">
        <v>52</v>
      </c>
      <c r="C23" s="44" t="s">
        <v>43</v>
      </c>
      <c r="D23" s="92"/>
      <c r="E23" s="66">
        <v>0</v>
      </c>
      <c r="F23" s="128">
        <f>+MEDIA!G15</f>
        <v>296.36797515067997</v>
      </c>
      <c r="G23" s="128">
        <f>+MEDIA!G16</f>
        <v>298.33893112376569</v>
      </c>
      <c r="H23" s="128">
        <f>+MEDIA!G17</f>
        <v>296.80579244630792</v>
      </c>
      <c r="I23" s="128">
        <f>+MEDIA!G18</f>
        <v>298.79985571763024</v>
      </c>
      <c r="J23" s="128">
        <f>+MEDIA!G19</f>
        <v>297.64999433981666</v>
      </c>
      <c r="K23" s="128">
        <f>+MEDIA!G20</f>
        <v>299.01465601086562</v>
      </c>
      <c r="L23" s="67">
        <v>0</v>
      </c>
      <c r="M23" s="67">
        <v>0</v>
      </c>
      <c r="N23" s="68">
        <f>+MEDIA!G23</f>
        <v>297.883784234497</v>
      </c>
    </row>
    <row r="24" spans="2:14" ht="14" x14ac:dyDescent="0.2">
      <c r="B24" s="93" t="s">
        <v>44</v>
      </c>
      <c r="C24" s="70" t="s">
        <v>45</v>
      </c>
      <c r="D24" s="94"/>
      <c r="E24" s="69">
        <v>100</v>
      </c>
      <c r="F24" s="70">
        <v>100</v>
      </c>
      <c r="G24" s="70">
        <v>100</v>
      </c>
      <c r="H24" s="70">
        <v>100</v>
      </c>
      <c r="I24" s="70">
        <v>100</v>
      </c>
      <c r="J24" s="70">
        <v>100</v>
      </c>
      <c r="K24" s="70">
        <v>100</v>
      </c>
      <c r="L24" s="70">
        <v>100</v>
      </c>
      <c r="M24" s="70">
        <v>100</v>
      </c>
      <c r="N24" s="71">
        <v>100</v>
      </c>
    </row>
    <row r="25" spans="2:14" ht="5" customHeight="1" thickBot="1" x14ac:dyDescent="0.25">
      <c r="B25" s="103"/>
      <c r="C25" s="73"/>
      <c r="D25" s="73"/>
      <c r="E25" s="72"/>
      <c r="F25" s="73"/>
      <c r="G25" s="73"/>
      <c r="H25" s="73"/>
      <c r="I25" s="73"/>
      <c r="J25" s="73"/>
      <c r="K25" s="73"/>
      <c r="L25" s="73"/>
      <c r="M25" s="73"/>
      <c r="N25" s="74"/>
    </row>
    <row r="26" spans="2:14" ht="29" thickBot="1" x14ac:dyDescent="0.25">
      <c r="B26" s="104" t="s">
        <v>79</v>
      </c>
      <c r="C26" s="86"/>
      <c r="D26" s="86"/>
      <c r="E26" s="105" t="s">
        <v>80</v>
      </c>
      <c r="F26" s="86"/>
      <c r="G26" s="86"/>
      <c r="H26" s="86"/>
      <c r="I26" s="86"/>
      <c r="J26" s="86"/>
      <c r="K26" s="86"/>
      <c r="L26" s="110" t="s">
        <v>81</v>
      </c>
      <c r="M26" s="86"/>
      <c r="N26" s="106"/>
    </row>
    <row r="27" spans="2:14" ht="14" thickBot="1" x14ac:dyDescent="0.25">
      <c r="B27" s="107"/>
      <c r="E27" s="75"/>
      <c r="F27" s="76"/>
      <c r="G27" s="76"/>
      <c r="H27" s="76"/>
      <c r="I27" s="76"/>
      <c r="J27" s="76"/>
      <c r="K27" s="76"/>
      <c r="L27" s="76"/>
      <c r="M27" s="76"/>
      <c r="N27" s="77"/>
    </row>
    <row r="28" spans="2:14" ht="35" customHeight="1" thickBot="1" x14ac:dyDescent="0.25">
      <c r="B28" s="108" t="s">
        <v>46</v>
      </c>
      <c r="C28" s="109"/>
      <c r="D28" s="109"/>
      <c r="E28" s="78">
        <v>1745313548</v>
      </c>
      <c r="F28" s="79">
        <v>1709106800</v>
      </c>
      <c r="G28" s="79">
        <v>1734841667</v>
      </c>
      <c r="H28" s="79">
        <v>1739262350</v>
      </c>
      <c r="I28" s="79">
        <v>1723131067</v>
      </c>
      <c r="J28" s="79">
        <v>1716500000</v>
      </c>
      <c r="K28" s="79">
        <v>1724369786</v>
      </c>
      <c r="L28" s="79">
        <v>1658047873</v>
      </c>
      <c r="M28" s="111">
        <v>1745315480</v>
      </c>
      <c r="N28" s="80">
        <v>1717848229</v>
      </c>
    </row>
    <row r="29" spans="2:14" ht="14" thickBot="1" x14ac:dyDescent="0.25">
      <c r="B29" s="107"/>
      <c r="E29" s="75"/>
      <c r="F29" s="81"/>
      <c r="G29" s="76"/>
      <c r="H29" s="76"/>
      <c r="I29" s="76"/>
      <c r="J29" s="76"/>
      <c r="K29" s="76"/>
      <c r="L29" s="76"/>
      <c r="M29" s="76"/>
      <c r="N29" s="77"/>
    </row>
    <row r="30" spans="2:14" ht="35" customHeight="1" thickBot="1" x14ac:dyDescent="0.25">
      <c r="B30" s="108" t="s">
        <v>47</v>
      </c>
      <c r="C30" s="109"/>
      <c r="D30" s="109"/>
      <c r="E30" s="122" t="s">
        <v>95</v>
      </c>
      <c r="F30" s="82">
        <v>7</v>
      </c>
      <c r="G30" s="82">
        <v>3</v>
      </c>
      <c r="H30" s="82">
        <v>6</v>
      </c>
      <c r="I30" s="82">
        <v>2</v>
      </c>
      <c r="J30" s="82">
        <v>5</v>
      </c>
      <c r="K30" s="82">
        <v>1</v>
      </c>
      <c r="L30" s="123" t="s">
        <v>92</v>
      </c>
      <c r="M30" s="123" t="s">
        <v>94</v>
      </c>
      <c r="N30" s="83">
        <v>4</v>
      </c>
    </row>
    <row r="32" spans="2:14" ht="16" x14ac:dyDescent="0.2">
      <c r="M32" s="15"/>
    </row>
    <row r="34" spans="2:6" x14ac:dyDescent="0.2">
      <c r="B34" s="32" t="s">
        <v>48</v>
      </c>
    </row>
    <row r="35" spans="2:6" x14ac:dyDescent="0.2">
      <c r="C35" s="32" t="s">
        <v>83</v>
      </c>
      <c r="E35" s="32" t="s">
        <v>84</v>
      </c>
    </row>
    <row r="44" spans="2:6" x14ac:dyDescent="0.2">
      <c r="E44" s="115" t="s">
        <v>20</v>
      </c>
      <c r="F44" s="131">
        <v>999.36003368058505</v>
      </c>
    </row>
    <row r="45" spans="2:6" x14ac:dyDescent="0.2">
      <c r="E45" s="75" t="s">
        <v>16</v>
      </c>
      <c r="F45" s="132">
        <v>999.14498528170247</v>
      </c>
    </row>
    <row r="46" spans="2:6" x14ac:dyDescent="0.2">
      <c r="E46" s="75" t="s">
        <v>88</v>
      </c>
      <c r="F46" s="132">
        <v>998.2278556877784</v>
      </c>
    </row>
    <row r="47" spans="2:6" x14ac:dyDescent="0.2">
      <c r="E47" s="75" t="s">
        <v>19</v>
      </c>
      <c r="F47" s="132">
        <v>997.99379575346154</v>
      </c>
    </row>
    <row r="48" spans="2:6" x14ac:dyDescent="0.2">
      <c r="E48" s="75" t="s">
        <v>86</v>
      </c>
      <c r="F48" s="132">
        <v>997.64398091396129</v>
      </c>
    </row>
    <row r="49" spans="5:6" x14ac:dyDescent="0.2">
      <c r="E49" s="75" t="s">
        <v>15</v>
      </c>
      <c r="F49" s="132">
        <v>996.71029576466776</v>
      </c>
    </row>
    <row r="50" spans="5:6" x14ac:dyDescent="0.2">
      <c r="E50" s="75" t="s">
        <v>18</v>
      </c>
      <c r="F50" s="132">
        <v>996.10907138061691</v>
      </c>
    </row>
    <row r="51" spans="5:6" x14ac:dyDescent="0.2">
      <c r="E51" s="75" t="s">
        <v>85</v>
      </c>
      <c r="F51" s="113" t="s">
        <v>93</v>
      </c>
    </row>
    <row r="52" spans="5:6" x14ac:dyDescent="0.2">
      <c r="E52" s="75" t="s">
        <v>87</v>
      </c>
      <c r="F52" s="113" t="s">
        <v>93</v>
      </c>
    </row>
    <row r="53" spans="5:6" x14ac:dyDescent="0.2">
      <c r="E53" s="112" t="s">
        <v>21</v>
      </c>
      <c r="F53" s="114" t="s">
        <v>93</v>
      </c>
    </row>
  </sheetData>
  <sortState xmlns:xlrd2="http://schemas.microsoft.com/office/spreadsheetml/2017/richdata2" ref="E44:F53">
    <sortCondition descending="1" ref="F44:F53"/>
  </sortState>
  <mergeCells count="3">
    <mergeCell ref="B8:D8"/>
    <mergeCell ref="B9:D9"/>
    <mergeCell ref="B10:D10"/>
  </mergeCells>
  <printOptions horizontalCentered="1"/>
  <pageMargins left="0.7" right="0.7" top="0.75" bottom="0.75" header="0.3" footer="0.3"/>
  <pageSetup scale="50" orientation="landscape" horizontalDpi="0" verticalDpi="0"/>
  <colBreaks count="2" manualBreakCount="2">
    <brk id="7" max="52" man="1"/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4936-4395-9240-80F7-33DC61C3B5E6}">
  <dimension ref="B2:J60"/>
  <sheetViews>
    <sheetView tabSelected="1" zoomScale="125" workbookViewId="0">
      <selection activeCell="F59" sqref="F59"/>
    </sheetView>
  </sheetViews>
  <sheetFormatPr baseColWidth="10" defaultRowHeight="16" x14ac:dyDescent="0.2"/>
  <cols>
    <col min="1" max="1" width="3.83203125" style="1" customWidth="1"/>
    <col min="2" max="2" width="4.33203125" style="3" bestFit="1" customWidth="1"/>
    <col min="3" max="3" width="15.6640625" style="1" customWidth="1"/>
    <col min="4" max="4" width="17.1640625" style="1" customWidth="1"/>
    <col min="5" max="5" width="2.6640625" style="1" customWidth="1"/>
    <col min="6" max="6" width="17" style="1" bestFit="1" customWidth="1"/>
    <col min="7" max="7" width="13.1640625" style="1" customWidth="1"/>
    <col min="8" max="8" width="11.1640625" style="1" bestFit="1" customWidth="1"/>
    <col min="9" max="9" width="10.83203125" style="1"/>
    <col min="10" max="10" width="17" style="1" bestFit="1" customWidth="1"/>
    <col min="11" max="16384" width="10.83203125" style="1"/>
  </cols>
  <sheetData>
    <row r="2" spans="2:9" ht="18" x14ac:dyDescent="0.2">
      <c r="C2" s="8" t="s">
        <v>0</v>
      </c>
    </row>
    <row r="4" spans="2:9" ht="85" x14ac:dyDescent="0.2">
      <c r="C4" s="6" t="s">
        <v>2</v>
      </c>
      <c r="D4" s="6" t="s">
        <v>51</v>
      </c>
    </row>
    <row r="5" spans="2:9" x14ac:dyDescent="0.2">
      <c r="C5" s="2" t="s">
        <v>1</v>
      </c>
      <c r="D5" s="3">
        <v>1</v>
      </c>
    </row>
    <row r="6" spans="2:9" x14ac:dyDescent="0.2">
      <c r="C6" s="4" t="s">
        <v>3</v>
      </c>
      <c r="D6" s="3">
        <v>2</v>
      </c>
    </row>
    <row r="7" spans="2:9" x14ac:dyDescent="0.2">
      <c r="C7" s="4" t="s">
        <v>4</v>
      </c>
      <c r="D7" s="3">
        <v>3</v>
      </c>
    </row>
    <row r="8" spans="2:9" x14ac:dyDescent="0.2">
      <c r="C8" s="5" t="s">
        <v>5</v>
      </c>
      <c r="D8" s="5">
        <v>4</v>
      </c>
    </row>
    <row r="10" spans="2:9" ht="34" x14ac:dyDescent="0.2">
      <c r="C10" s="14" t="s">
        <v>23</v>
      </c>
      <c r="D10" s="15">
        <v>1745313548</v>
      </c>
      <c r="F10" s="7"/>
    </row>
    <row r="11" spans="2:9" x14ac:dyDescent="0.2">
      <c r="H11" s="17" t="s">
        <v>24</v>
      </c>
    </row>
    <row r="12" spans="2:9" x14ac:dyDescent="0.2">
      <c r="B12" s="3" t="s">
        <v>7</v>
      </c>
      <c r="C12" s="3" t="s">
        <v>6</v>
      </c>
      <c r="D12" s="3" t="s">
        <v>8</v>
      </c>
      <c r="F12" s="10" t="s">
        <v>14</v>
      </c>
      <c r="G12" s="3" t="s">
        <v>13</v>
      </c>
      <c r="H12" s="125">
        <f>+MAX(G13:G24)</f>
        <v>299.01465601086562</v>
      </c>
    </row>
    <row r="13" spans="2:9" ht="5" customHeight="1" x14ac:dyDescent="0.2">
      <c r="B13" s="12"/>
      <c r="C13" s="13"/>
      <c r="D13" s="13"/>
      <c r="E13" s="13"/>
      <c r="F13" s="13"/>
      <c r="G13" s="13"/>
      <c r="H13" s="13"/>
      <c r="I13" s="13"/>
    </row>
    <row r="14" spans="2:9" x14ac:dyDescent="0.2">
      <c r="B14" s="10">
        <v>1</v>
      </c>
      <c r="C14" s="11"/>
      <c r="D14" s="18"/>
      <c r="F14" s="10">
        <f t="shared" ref="F14:F19" si="0">+IF(D14&lt;=$D$29,1,2)</f>
        <v>1</v>
      </c>
      <c r="G14" s="124">
        <f t="shared" ref="G14" si="1">IF(F14=1,(1-($D$29-D14)/$D$29),(1-2*(ABS($D$29-D14))/$D$29))*300</f>
        <v>0</v>
      </c>
      <c r="H14" s="10"/>
      <c r="I14" s="16">
        <f>+D14/$D$10</f>
        <v>0</v>
      </c>
    </row>
    <row r="15" spans="2:9" ht="34" x14ac:dyDescent="0.2">
      <c r="B15" s="10">
        <v>2</v>
      </c>
      <c r="C15" s="11" t="s">
        <v>15</v>
      </c>
      <c r="D15" s="18">
        <v>1709106800</v>
      </c>
      <c r="F15" s="10">
        <f t="shared" si="0"/>
        <v>1</v>
      </c>
      <c r="G15" s="124">
        <f>IF(F15=1,(1-($D$29-D15)/$D$29),(1-2*(ABS($D$29-D15))/$D$29))*300</f>
        <v>296.36797515067997</v>
      </c>
      <c r="H15" s="10"/>
      <c r="I15" s="16">
        <f t="shared" ref="I15:I23" si="2">+D15/$D$10</f>
        <v>0.97925487483811136</v>
      </c>
    </row>
    <row r="16" spans="2:9" ht="34" x14ac:dyDescent="0.2">
      <c r="B16" s="10">
        <v>3</v>
      </c>
      <c r="C16" s="11" t="s">
        <v>17</v>
      </c>
      <c r="D16" s="18">
        <v>1734841667</v>
      </c>
      <c r="F16" s="10">
        <f t="shared" si="0"/>
        <v>2</v>
      </c>
      <c r="G16" s="124">
        <f>IF(F16=1,(1-($D$29-D16)/$D$29),(1-2*(ABS($D$29-D16))/$D$29))*300</f>
        <v>298.33893112376569</v>
      </c>
      <c r="H16" s="10"/>
      <c r="I16" s="16">
        <f t="shared" si="2"/>
        <v>0.99400000016501333</v>
      </c>
    </row>
    <row r="17" spans="2:10" ht="17" x14ac:dyDescent="0.2">
      <c r="B17" s="10">
        <v>4</v>
      </c>
      <c r="C17" s="11" t="s">
        <v>18</v>
      </c>
      <c r="D17" s="18">
        <v>1739262350</v>
      </c>
      <c r="F17" s="10">
        <f t="shared" si="0"/>
        <v>2</v>
      </c>
      <c r="G17" s="124">
        <f>IF(F17=1,(1-($D$29-D17)/$D$29),(1-2*(ABS($D$29-D17))/$D$29))*300</f>
        <v>296.80579244630792</v>
      </c>
      <c r="H17" s="10"/>
      <c r="I17" s="16">
        <f t="shared" si="2"/>
        <v>0.9965328877398939</v>
      </c>
    </row>
    <row r="18" spans="2:10" ht="17" x14ac:dyDescent="0.2">
      <c r="B18" s="10">
        <v>5</v>
      </c>
      <c r="C18" s="11" t="s">
        <v>16</v>
      </c>
      <c r="D18" s="18">
        <v>1723131067</v>
      </c>
      <c r="F18" s="10">
        <f t="shared" si="0"/>
        <v>1</v>
      </c>
      <c r="G18" s="124">
        <f>IF(F18=1,(1-($D$29-D18)/$D$29),(1-2*(ABS($D$29-D18))/$D$29))*300</f>
        <v>298.79985571763024</v>
      </c>
      <c r="H18" s="10"/>
      <c r="I18" s="16">
        <f t="shared" si="2"/>
        <v>0.9872902602369531</v>
      </c>
    </row>
    <row r="19" spans="2:10" ht="17" x14ac:dyDescent="0.2">
      <c r="B19" s="10">
        <v>6</v>
      </c>
      <c r="C19" s="11" t="s">
        <v>19</v>
      </c>
      <c r="D19" s="18">
        <v>1716500000</v>
      </c>
      <c r="F19" s="10">
        <f t="shared" si="0"/>
        <v>1</v>
      </c>
      <c r="G19" s="124">
        <f>IF(F19=1,(1-($D$29-D19)/$D$29),(1-2*(ABS($D$29-D19))/$D$29))*300</f>
        <v>297.64999433981666</v>
      </c>
      <c r="H19" s="10"/>
      <c r="I19" s="16">
        <f t="shared" si="2"/>
        <v>0.9834909045237068</v>
      </c>
    </row>
    <row r="20" spans="2:10" ht="17" x14ac:dyDescent="0.2">
      <c r="B20" s="10">
        <v>7</v>
      </c>
      <c r="C20" s="11" t="s">
        <v>20</v>
      </c>
      <c r="D20" s="18">
        <v>1724369786</v>
      </c>
      <c r="F20" s="10">
        <f t="shared" ref="F20:F23" si="3">+IF(D20&lt;=$D$29,1,2)</f>
        <v>1</v>
      </c>
      <c r="G20" s="124">
        <f>IF(F20=1,(1-($D$29-D20)/$D$29),(1-2*(ABS($D$29-D20))/$D$29))*300</f>
        <v>299.01465601086562</v>
      </c>
      <c r="H20" s="10"/>
      <c r="I20" s="16">
        <f t="shared" si="2"/>
        <v>0.98800000033002666</v>
      </c>
      <c r="J20" s="9"/>
    </row>
    <row r="21" spans="2:10" x14ac:dyDescent="0.2">
      <c r="B21" s="10">
        <v>8</v>
      </c>
      <c r="C21" s="11"/>
      <c r="D21" s="18"/>
      <c r="F21" s="10">
        <f t="shared" si="3"/>
        <v>1</v>
      </c>
      <c r="G21" s="124">
        <f>IF(F21=1,(1-($D$29-D21)/$D$29),(1-2*(ABS($D$29-D21))/$D$29))*300</f>
        <v>0</v>
      </c>
      <c r="H21" s="10"/>
      <c r="I21" s="16">
        <f t="shared" si="2"/>
        <v>0</v>
      </c>
    </row>
    <row r="22" spans="2:10" x14ac:dyDescent="0.2">
      <c r="B22" s="10">
        <v>9</v>
      </c>
      <c r="C22" s="11"/>
      <c r="D22" s="18"/>
      <c r="F22" s="10">
        <f t="shared" si="3"/>
        <v>1</v>
      </c>
      <c r="G22" s="124">
        <f>IF(F22=1,(1-($D$29-D22)/$D$29),(1-2*(ABS($D$29-D22))/$D$29))*300</f>
        <v>0</v>
      </c>
      <c r="H22" s="10"/>
      <c r="I22" s="16">
        <f t="shared" si="2"/>
        <v>0</v>
      </c>
    </row>
    <row r="23" spans="2:10" ht="34" x14ac:dyDescent="0.2">
      <c r="B23" s="10">
        <v>10</v>
      </c>
      <c r="C23" s="11" t="s">
        <v>22</v>
      </c>
      <c r="D23" s="18">
        <v>1717848229</v>
      </c>
      <c r="F23" s="10">
        <f t="shared" si="3"/>
        <v>1</v>
      </c>
      <c r="G23" s="124">
        <f>IF(F23=1,(1-($D$29-D23)/$D$29),(1-2*(ABS($D$29-D23))/$D$29))*300</f>
        <v>297.883784234497</v>
      </c>
      <c r="H23" s="10"/>
      <c r="I23" s="16">
        <f t="shared" si="2"/>
        <v>0.98426338978948902</v>
      </c>
    </row>
    <row r="24" spans="2:10" ht="5" customHeight="1" x14ac:dyDescent="0.2">
      <c r="B24" s="12"/>
      <c r="C24" s="13"/>
      <c r="D24" s="13"/>
      <c r="E24" s="13"/>
      <c r="F24" s="13"/>
      <c r="G24" s="13"/>
      <c r="H24" s="13"/>
      <c r="I24" s="13"/>
    </row>
    <row r="26" spans="2:10" ht="17" x14ac:dyDescent="0.2">
      <c r="C26" s="6" t="str">
        <f>+C4</f>
        <v>Proponentes</v>
      </c>
      <c r="D26" s="5" t="str">
        <f>+D4</f>
        <v>Número de veces que el prosuepusto oficial entra a la media (n)</v>
      </c>
    </row>
    <row r="27" spans="2:10" x14ac:dyDescent="0.2">
      <c r="C27" s="3">
        <f>+COUNTA(C14:C24)</f>
        <v>7</v>
      </c>
      <c r="D27" s="3">
        <f>+IF(AND(C27&gt;=1,C27&lt;=3),1,IF(AND(C27&gt;=4,C27&lt;=6),2,IF(AND(C27&gt;=7,C27&lt;=9),3,4)))</f>
        <v>3</v>
      </c>
      <c r="J27" s="7"/>
    </row>
    <row r="28" spans="2:10" x14ac:dyDescent="0.2">
      <c r="J28" s="7"/>
    </row>
    <row r="29" spans="2:10" x14ac:dyDescent="0.2">
      <c r="C29" s="1" t="s">
        <v>12</v>
      </c>
      <c r="D29" s="9">
        <f>((D10^D31)*D15*D16*D17*D18*D19*D20*D23)^(1/D30)</f>
        <v>1730052107.4833264</v>
      </c>
      <c r="J29" s="7"/>
    </row>
    <row r="30" spans="2:10" x14ac:dyDescent="0.2">
      <c r="C30" s="1" t="s">
        <v>9</v>
      </c>
      <c r="D30" s="3">
        <f>+D31+D32</f>
        <v>10</v>
      </c>
      <c r="J30" s="7"/>
    </row>
    <row r="31" spans="2:10" x14ac:dyDescent="0.2">
      <c r="C31" s="1" t="s">
        <v>10</v>
      </c>
      <c r="D31" s="3">
        <f>+D27</f>
        <v>3</v>
      </c>
      <c r="J31" s="7"/>
    </row>
    <row r="32" spans="2:10" x14ac:dyDescent="0.2">
      <c r="C32" s="1" t="s">
        <v>11</v>
      </c>
      <c r="D32" s="3">
        <f>+C27</f>
        <v>7</v>
      </c>
      <c r="J32" s="7"/>
    </row>
    <row r="33" spans="3:10" x14ac:dyDescent="0.2">
      <c r="J33" s="7"/>
    </row>
    <row r="34" spans="3:10" x14ac:dyDescent="0.2">
      <c r="D34" s="7"/>
      <c r="J34" s="9"/>
    </row>
    <row r="35" spans="3:10" x14ac:dyDescent="0.2">
      <c r="C35" s="21"/>
      <c r="D35" s="22">
        <v>1709106800</v>
      </c>
      <c r="J35" s="9"/>
    </row>
    <row r="36" spans="3:10" x14ac:dyDescent="0.2">
      <c r="C36" s="23"/>
      <c r="D36" s="24">
        <v>1734841667</v>
      </c>
      <c r="J36" s="9"/>
    </row>
    <row r="37" spans="3:10" x14ac:dyDescent="0.2">
      <c r="C37" s="23"/>
      <c r="D37" s="24">
        <v>1739262350</v>
      </c>
    </row>
    <row r="38" spans="3:10" x14ac:dyDescent="0.2">
      <c r="C38" s="23"/>
      <c r="D38" s="24">
        <v>1723131067</v>
      </c>
      <c r="J38" s="7"/>
    </row>
    <row r="39" spans="3:10" x14ac:dyDescent="0.2">
      <c r="C39" s="23"/>
      <c r="D39" s="24">
        <v>1716500000</v>
      </c>
    </row>
    <row r="40" spans="3:10" x14ac:dyDescent="0.2">
      <c r="C40" s="23"/>
      <c r="D40" s="24">
        <v>1724369786</v>
      </c>
    </row>
    <row r="41" spans="3:10" x14ac:dyDescent="0.2">
      <c r="C41" s="23"/>
      <c r="D41" s="24">
        <v>1717848229</v>
      </c>
    </row>
    <row r="42" spans="3:10" x14ac:dyDescent="0.2">
      <c r="C42" s="23"/>
      <c r="D42" s="117">
        <v>1745313548</v>
      </c>
    </row>
    <row r="43" spans="3:10" x14ac:dyDescent="0.2">
      <c r="C43" s="23"/>
      <c r="D43" s="117">
        <v>1745313548</v>
      </c>
    </row>
    <row r="44" spans="3:10" x14ac:dyDescent="0.2">
      <c r="C44" s="23"/>
      <c r="D44" s="117">
        <v>1745313548</v>
      </c>
    </row>
    <row r="45" spans="3:10" x14ac:dyDescent="0.2">
      <c r="C45" s="23"/>
      <c r="D45" s="24"/>
    </row>
    <row r="46" spans="3:10" x14ac:dyDescent="0.2">
      <c r="C46" s="23"/>
      <c r="D46" s="24"/>
    </row>
    <row r="47" spans="3:10" x14ac:dyDescent="0.2">
      <c r="C47" s="23"/>
      <c r="D47" s="24"/>
    </row>
    <row r="48" spans="3:10" x14ac:dyDescent="0.2">
      <c r="C48" s="23"/>
      <c r="D48" s="24"/>
    </row>
    <row r="49" spans="3:6" x14ac:dyDescent="0.2">
      <c r="C49" s="19" t="s">
        <v>49</v>
      </c>
      <c r="D49" s="20">
        <f>+GEOMEAN(D35:D44)</f>
        <v>1730052107.4833238</v>
      </c>
    </row>
    <row r="50" spans="3:6" x14ac:dyDescent="0.2">
      <c r="C50" s="25" t="s">
        <v>50</v>
      </c>
      <c r="D50" s="26">
        <f>+D49-D29</f>
        <v>-2.6226043701171875E-6</v>
      </c>
    </row>
    <row r="53" spans="3:6" x14ac:dyDescent="0.2">
      <c r="C53" s="27" t="s">
        <v>54</v>
      </c>
      <c r="D53" s="27" t="s">
        <v>13</v>
      </c>
      <c r="E53" s="28"/>
      <c r="F53" s="27" t="s">
        <v>53</v>
      </c>
    </row>
    <row r="54" spans="3:6" ht="17" x14ac:dyDescent="0.2">
      <c r="C54" s="29" t="s">
        <v>20</v>
      </c>
      <c r="D54" s="126">
        <v>299.01465601086562</v>
      </c>
      <c r="E54" s="30"/>
      <c r="F54" s="31">
        <v>1</v>
      </c>
    </row>
    <row r="55" spans="3:6" ht="17" x14ac:dyDescent="0.2">
      <c r="C55" s="29" t="s">
        <v>16</v>
      </c>
      <c r="D55" s="126">
        <v>298.79985571763024</v>
      </c>
      <c r="E55" s="30"/>
      <c r="F55" s="31">
        <v>2</v>
      </c>
    </row>
    <row r="56" spans="3:6" ht="34" x14ac:dyDescent="0.2">
      <c r="C56" s="29" t="s">
        <v>17</v>
      </c>
      <c r="D56" s="126">
        <v>298.33893112376569</v>
      </c>
      <c r="E56" s="30"/>
      <c r="F56" s="31">
        <v>3</v>
      </c>
    </row>
    <row r="57" spans="3:6" ht="34" x14ac:dyDescent="0.2">
      <c r="C57" s="116" t="s">
        <v>22</v>
      </c>
      <c r="D57" s="127">
        <v>297.883784234497</v>
      </c>
      <c r="E57" s="30"/>
      <c r="F57" s="31">
        <v>4</v>
      </c>
    </row>
    <row r="58" spans="3:6" ht="17" x14ac:dyDescent="0.2">
      <c r="C58" s="29" t="s">
        <v>19</v>
      </c>
      <c r="D58" s="126">
        <v>297.64999433981666</v>
      </c>
      <c r="E58" s="30"/>
      <c r="F58" s="31">
        <v>5</v>
      </c>
    </row>
    <row r="59" spans="3:6" ht="17" x14ac:dyDescent="0.2">
      <c r="C59" s="29" t="s">
        <v>18</v>
      </c>
      <c r="D59" s="126">
        <v>296.80579244630792</v>
      </c>
      <c r="E59" s="30"/>
      <c r="F59" s="31">
        <v>6</v>
      </c>
    </row>
    <row r="60" spans="3:6" ht="34" x14ac:dyDescent="0.2">
      <c r="C60" s="29" t="s">
        <v>15</v>
      </c>
      <c r="D60" s="126">
        <v>296.36797515067997</v>
      </c>
      <c r="E60" s="30"/>
      <c r="F60" s="31">
        <v>7</v>
      </c>
    </row>
  </sheetData>
  <sortState xmlns:xlrd2="http://schemas.microsoft.com/office/spreadsheetml/2017/richdata2" ref="C54:D60">
    <sortCondition descending="1" ref="D54:D60"/>
  </sortState>
  <phoneticPr fontId="3" type="noConversion"/>
  <conditionalFormatting sqref="G14:G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9:G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MEDIA</vt:lpstr>
      <vt:lpstr>EVALUACION!Títulos_a_imprimir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Salgado Pacheco</dc:creator>
  <cp:lastModifiedBy>Microsoft Office User</cp:lastModifiedBy>
  <cp:lastPrinted>2019-11-13T13:45:03Z</cp:lastPrinted>
  <dcterms:created xsi:type="dcterms:W3CDTF">2019-11-06T16:30:44Z</dcterms:created>
  <dcterms:modified xsi:type="dcterms:W3CDTF">2019-11-13T13:45:42Z</dcterms:modified>
</cp:coreProperties>
</file>