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ntina\Documents\PROSPERIDAD SOCIAL\EMPLEABILIDAD\EMPLEÁTE\DOCUMENTACIÓN PRUEBAS PSICOTÉCNICAS\DOCUMENTOS PUBLICAR FINAL\"/>
    </mc:Choice>
  </mc:AlternateContent>
  <bookViews>
    <workbookView xWindow="0" yWindow="0" windowWidth="20490" windowHeight="7050" firstSheet="1" activeTab="1"/>
  </bookViews>
  <sheets>
    <sheet name="Cotización" sheetId="1" state="hidden" r:id="rId1"/>
    <sheet name="Propuesta Económica" sheetId="2" r:id="rId2"/>
  </sheets>
  <definedNames>
    <definedName name="_xlnm.Print_Area" localSheetId="1">'Propuesta Económica'!$A$1:$G$21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 l="1"/>
  <c r="F7" i="2" s="1"/>
  <c r="G7" i="2" s="1"/>
  <c r="G8" i="2" l="1"/>
  <c r="P55" i="1"/>
  <c r="P32" i="1"/>
  <c r="P30" i="1"/>
  <c r="P29" i="1"/>
  <c r="P28" i="1"/>
  <c r="O60" i="1" l="1"/>
  <c r="O61" i="1"/>
  <c r="O59" i="1"/>
  <c r="O53" i="1"/>
  <c r="O52" i="1"/>
  <c r="O51" i="1"/>
  <c r="O50" i="1"/>
  <c r="O49" i="1"/>
  <c r="O48" i="1"/>
  <c r="O47" i="1"/>
  <c r="O46" i="1"/>
  <c r="O45" i="1"/>
  <c r="O44" i="1"/>
  <c r="O43" i="1"/>
  <c r="O42" i="1"/>
  <c r="O41" i="1"/>
  <c r="O40" i="1"/>
  <c r="O39" i="1"/>
  <c r="O38" i="1"/>
  <c r="O37" i="1"/>
  <c r="O36" i="1"/>
  <c r="O35" i="1"/>
  <c r="O34" i="1"/>
  <c r="O33" i="1"/>
  <c r="O32" i="1"/>
  <c r="O31" i="1"/>
  <c r="O30" i="1"/>
  <c r="O29" i="1"/>
  <c r="O28" i="1"/>
  <c r="O27" i="1"/>
  <c r="S61" i="1"/>
  <c r="R61" i="1"/>
  <c r="U61" i="1" s="1"/>
  <c r="S60" i="1"/>
  <c r="R60" i="1"/>
  <c r="S59" i="1"/>
  <c r="R59" i="1"/>
  <c r="U59" i="1" s="1"/>
  <c r="S53" i="1"/>
  <c r="R53" i="1"/>
  <c r="U53" i="1" s="1"/>
  <c r="S52" i="1"/>
  <c r="R52" i="1"/>
  <c r="S51" i="1"/>
  <c r="R51" i="1"/>
  <c r="U51" i="1" s="1"/>
  <c r="S50" i="1"/>
  <c r="R50" i="1"/>
  <c r="S49" i="1"/>
  <c r="R49" i="1"/>
  <c r="U49" i="1" s="1"/>
  <c r="S48" i="1"/>
  <c r="R48" i="1"/>
  <c r="S47" i="1"/>
  <c r="R47" i="1"/>
  <c r="U47" i="1" s="1"/>
  <c r="S46" i="1"/>
  <c r="R46" i="1"/>
  <c r="S45" i="1"/>
  <c r="R45" i="1"/>
  <c r="U45" i="1" s="1"/>
  <c r="S44" i="1"/>
  <c r="R44" i="1"/>
  <c r="S43" i="1"/>
  <c r="R43" i="1"/>
  <c r="U43" i="1" s="1"/>
  <c r="S42" i="1"/>
  <c r="R42" i="1"/>
  <c r="S41" i="1"/>
  <c r="R41" i="1"/>
  <c r="U41" i="1" s="1"/>
  <c r="S40" i="1"/>
  <c r="R40" i="1"/>
  <c r="S39" i="1"/>
  <c r="R39" i="1"/>
  <c r="U39" i="1" s="1"/>
  <c r="S38" i="1"/>
  <c r="R38" i="1"/>
  <c r="S37" i="1"/>
  <c r="R37" i="1"/>
  <c r="U37" i="1" s="1"/>
  <c r="S36" i="1"/>
  <c r="R36" i="1"/>
  <c r="S35" i="1"/>
  <c r="R35" i="1"/>
  <c r="U35" i="1" s="1"/>
  <c r="S34" i="1"/>
  <c r="R34" i="1"/>
  <c r="S33" i="1"/>
  <c r="R33" i="1"/>
  <c r="U33" i="1" s="1"/>
  <c r="S32" i="1"/>
  <c r="R32" i="1"/>
  <c r="S31" i="1"/>
  <c r="R31" i="1"/>
  <c r="U31" i="1" s="1"/>
  <c r="S30" i="1"/>
  <c r="R30" i="1"/>
  <c r="S29" i="1"/>
  <c r="R29" i="1"/>
  <c r="U29" i="1" s="1"/>
  <c r="S28" i="1"/>
  <c r="R28" i="1"/>
  <c r="S27" i="1"/>
  <c r="R27" i="1"/>
  <c r="R18" i="1"/>
  <c r="O18" i="1"/>
  <c r="S18" i="1"/>
  <c r="N54" i="1"/>
  <c r="U60" i="1" l="1"/>
  <c r="U28" i="1"/>
  <c r="U30" i="1"/>
  <c r="U32" i="1"/>
  <c r="U36" i="1"/>
  <c r="U38" i="1"/>
  <c r="U40" i="1"/>
  <c r="U42" i="1"/>
  <c r="U44" i="1"/>
  <c r="U46" i="1"/>
  <c r="U48" i="1"/>
  <c r="U50" i="1"/>
  <c r="U52" i="1"/>
  <c r="U34" i="1"/>
  <c r="T28" i="1"/>
  <c r="T29" i="1"/>
  <c r="T30" i="1"/>
  <c r="T31" i="1"/>
  <c r="T32" i="1"/>
  <c r="T33" i="1"/>
  <c r="T34" i="1"/>
  <c r="T35" i="1"/>
  <c r="T36" i="1"/>
  <c r="T37" i="1"/>
  <c r="T38" i="1"/>
  <c r="T39" i="1"/>
  <c r="T40" i="1"/>
  <c r="T41" i="1"/>
  <c r="T42" i="1"/>
  <c r="T43" i="1"/>
  <c r="T44" i="1"/>
  <c r="T45" i="1"/>
  <c r="T46" i="1"/>
  <c r="T47" i="1"/>
  <c r="T48" i="1"/>
  <c r="T49" i="1"/>
  <c r="T50" i="1"/>
  <c r="T51" i="1"/>
  <c r="T52" i="1"/>
  <c r="T53" i="1"/>
  <c r="T59" i="1"/>
  <c r="T60" i="1"/>
  <c r="T61" i="1"/>
  <c r="T27" i="1"/>
  <c r="U27" i="1"/>
  <c r="U18" i="1"/>
  <c r="T18" i="1"/>
  <c r="F68" i="1"/>
  <c r="O57" i="1"/>
  <c r="M57" i="1"/>
  <c r="K57" i="1"/>
  <c r="I57" i="1"/>
  <c r="G57" i="1"/>
  <c r="E57" i="1"/>
  <c r="F54" i="1"/>
  <c r="P53" i="1"/>
  <c r="P52" i="1"/>
  <c r="P51" i="1"/>
  <c r="P50" i="1"/>
  <c r="P49" i="1"/>
  <c r="P48" i="1"/>
  <c r="P47" i="1"/>
  <c r="P46" i="1"/>
  <c r="P45" i="1"/>
  <c r="P44" i="1"/>
  <c r="P43" i="1"/>
  <c r="P42" i="1"/>
  <c r="P41" i="1"/>
  <c r="P40" i="1"/>
  <c r="P39" i="1"/>
  <c r="P38" i="1"/>
  <c r="P37" i="1"/>
  <c r="P36" i="1"/>
  <c r="P35" i="1"/>
  <c r="P34" i="1"/>
  <c r="P33" i="1"/>
  <c r="P31" i="1"/>
  <c r="P27" i="1"/>
  <c r="N53" i="1"/>
  <c r="N52" i="1"/>
  <c r="N51" i="1"/>
  <c r="N50" i="1"/>
  <c r="N49" i="1"/>
  <c r="N48" i="1"/>
  <c r="N47" i="1"/>
  <c r="N46" i="1"/>
  <c r="N45" i="1"/>
  <c r="N44" i="1"/>
  <c r="N43" i="1"/>
  <c r="N42" i="1"/>
  <c r="N41" i="1"/>
  <c r="N40" i="1"/>
  <c r="N39" i="1"/>
  <c r="N38" i="1"/>
  <c r="N37" i="1"/>
  <c r="N36" i="1"/>
  <c r="N35" i="1"/>
  <c r="N34" i="1"/>
  <c r="N33" i="1"/>
  <c r="N32" i="1"/>
  <c r="N31" i="1"/>
  <c r="N30" i="1"/>
  <c r="N29" i="1"/>
  <c r="N28" i="1"/>
  <c r="N27" i="1"/>
  <c r="L53" i="1"/>
  <c r="L52" i="1"/>
  <c r="L51" i="1"/>
  <c r="L50" i="1"/>
  <c r="L49" i="1"/>
  <c r="L48" i="1"/>
  <c r="L47" i="1"/>
  <c r="L46" i="1"/>
  <c r="L45" i="1"/>
  <c r="L44" i="1"/>
  <c r="L43" i="1"/>
  <c r="L42" i="1"/>
  <c r="L41" i="1"/>
  <c r="L40" i="1"/>
  <c r="L39" i="1"/>
  <c r="L38" i="1"/>
  <c r="L37" i="1"/>
  <c r="L36" i="1"/>
  <c r="L35" i="1"/>
  <c r="L34" i="1"/>
  <c r="L33" i="1"/>
  <c r="L32" i="1"/>
  <c r="L31" i="1"/>
  <c r="L30" i="1"/>
  <c r="L29" i="1"/>
  <c r="L28" i="1"/>
  <c r="L27" i="1"/>
  <c r="J53" i="1"/>
  <c r="J52" i="1"/>
  <c r="J51" i="1"/>
  <c r="J50" i="1"/>
  <c r="J49" i="1"/>
  <c r="J48" i="1"/>
  <c r="J47" i="1"/>
  <c r="J46" i="1"/>
  <c r="J45" i="1"/>
  <c r="J44" i="1"/>
  <c r="J43" i="1"/>
  <c r="J42" i="1"/>
  <c r="J41" i="1"/>
  <c r="J40" i="1"/>
  <c r="J39" i="1"/>
  <c r="J38" i="1"/>
  <c r="J37" i="1"/>
  <c r="J36" i="1"/>
  <c r="J35" i="1"/>
  <c r="J34" i="1"/>
  <c r="J33" i="1"/>
  <c r="J32" i="1"/>
  <c r="J31" i="1"/>
  <c r="J30" i="1"/>
  <c r="J29" i="1"/>
  <c r="J28" i="1"/>
  <c r="J27" i="1"/>
  <c r="H53" i="1"/>
  <c r="H52" i="1"/>
  <c r="H51" i="1"/>
  <c r="H50" i="1"/>
  <c r="H49" i="1"/>
  <c r="H48" i="1"/>
  <c r="H47" i="1"/>
  <c r="H46" i="1"/>
  <c r="H45" i="1"/>
  <c r="H44" i="1"/>
  <c r="H43" i="1"/>
  <c r="H42" i="1"/>
  <c r="H41" i="1"/>
  <c r="H40" i="1"/>
  <c r="H39" i="1"/>
  <c r="H38" i="1"/>
  <c r="H37" i="1"/>
  <c r="H36" i="1"/>
  <c r="H35" i="1"/>
  <c r="H34" i="1"/>
  <c r="H33" i="1"/>
  <c r="H32" i="1"/>
  <c r="H31" i="1"/>
  <c r="H30" i="1"/>
  <c r="H29" i="1"/>
  <c r="H28" i="1"/>
  <c r="H27" i="1"/>
  <c r="F53" i="1"/>
  <c r="F52" i="1"/>
  <c r="F51" i="1"/>
  <c r="F50" i="1"/>
  <c r="F49" i="1"/>
  <c r="F48" i="1"/>
  <c r="F47" i="1"/>
  <c r="F46" i="1"/>
  <c r="F45" i="1"/>
  <c r="F44" i="1"/>
  <c r="F43" i="1"/>
  <c r="F42" i="1"/>
  <c r="F41" i="1"/>
  <c r="F40" i="1"/>
  <c r="F39" i="1"/>
  <c r="F38" i="1"/>
  <c r="F37" i="1"/>
  <c r="F36" i="1"/>
  <c r="F35" i="1"/>
  <c r="F34" i="1"/>
  <c r="F33" i="1"/>
  <c r="F32" i="1"/>
  <c r="F31" i="1"/>
  <c r="F30" i="1"/>
  <c r="F29" i="1"/>
  <c r="F28" i="1"/>
  <c r="F27" i="1"/>
  <c r="P18" i="1"/>
  <c r="L18" i="1"/>
  <c r="L19" i="1" s="1"/>
  <c r="J18" i="1"/>
  <c r="J19" i="1" s="1"/>
  <c r="H18" i="1"/>
  <c r="H19" i="1" s="1"/>
  <c r="F18" i="1"/>
  <c r="F19" i="1" s="1"/>
  <c r="N55" i="1" l="1"/>
  <c r="F55" i="1"/>
  <c r="P60" i="1"/>
  <c r="N59" i="1"/>
  <c r="L55" i="1"/>
  <c r="L60" i="1" s="1"/>
  <c r="L59" i="1"/>
  <c r="J55" i="1"/>
  <c r="J60" i="1" s="1"/>
  <c r="H55" i="1"/>
  <c r="N68" i="1"/>
  <c r="L20" i="1"/>
  <c r="L21" i="1" s="1"/>
  <c r="L68" i="1" s="1"/>
  <c r="J20" i="1"/>
  <c r="J21" i="1" s="1"/>
  <c r="J68" i="1" s="1"/>
  <c r="H20" i="1"/>
  <c r="H21" i="1" s="1"/>
  <c r="H68" i="1" s="1"/>
  <c r="F20" i="1"/>
  <c r="F21" i="1" s="1"/>
  <c r="F61" i="1" l="1"/>
  <c r="F63" i="1" s="1"/>
  <c r="N60" i="1"/>
  <c r="N61" i="1"/>
  <c r="N63" i="1" s="1"/>
  <c r="L61" i="1"/>
  <c r="L63" i="1" s="1"/>
  <c r="J61" i="1"/>
  <c r="J63" i="1" s="1"/>
  <c r="J59" i="1"/>
  <c r="J57" i="1" s="1"/>
  <c r="J65" i="1" s="1"/>
  <c r="J69" i="1" s="1"/>
  <c r="J70" i="1" s="1"/>
  <c r="H59" i="1"/>
  <c r="H60" i="1"/>
  <c r="P61" i="1"/>
  <c r="P59" i="1"/>
  <c r="H61" i="1"/>
  <c r="H63" i="1" s="1"/>
  <c r="F59" i="1"/>
  <c r="F60" i="1"/>
  <c r="P19" i="1"/>
  <c r="P57" i="1" l="1"/>
  <c r="L57" i="1"/>
  <c r="L65" i="1" s="1"/>
  <c r="L69" i="1" s="1"/>
  <c r="L70" i="1" s="1"/>
  <c r="P20" i="1"/>
  <c r="P21" i="1" s="1"/>
  <c r="P68" i="1" s="1"/>
  <c r="N57" i="1"/>
  <c r="N65" i="1" s="1"/>
  <c r="N69" i="1" s="1"/>
  <c r="N70" i="1" s="1"/>
  <c r="H57" i="1"/>
  <c r="H65" i="1" s="1"/>
  <c r="H69" i="1" s="1"/>
  <c r="H70" i="1" s="1"/>
  <c r="F57" i="1"/>
  <c r="F65" i="1" s="1"/>
  <c r="F69" i="1" s="1"/>
  <c r="F70" i="1" s="1"/>
  <c r="P63" i="1"/>
  <c r="P65" i="1" l="1"/>
  <c r="P69" i="1" s="1"/>
  <c r="P70" i="1" s="1"/>
</calcChain>
</file>

<file path=xl/sharedStrings.xml><?xml version="1.0" encoding="utf-8"?>
<sst xmlns="http://schemas.openxmlformats.org/spreadsheetml/2006/main" count="193" uniqueCount="126">
  <si>
    <t>ÍTEM</t>
  </si>
  <si>
    <t>DESCRIPCIÓN</t>
  </si>
  <si>
    <t>UNIDAD DE MEDIDA</t>
  </si>
  <si>
    <t xml:space="preserve">CANTIDADES </t>
  </si>
  <si>
    <t>VALOR UNITARIO</t>
  </si>
  <si>
    <t>VALOR TOTAL</t>
  </si>
  <si>
    <t xml:space="preserve">ESTUDIOS Y DISEÑOS </t>
  </si>
  <si>
    <t>GL</t>
  </si>
  <si>
    <t>SUBTOTAL VALOR DE LA ETAPA DE VERIFICACIÓN TECNICA</t>
  </si>
  <si>
    <t>VALOR TOTAL IVA 19% ETAPA 1</t>
  </si>
  <si>
    <t>(A)</t>
  </si>
  <si>
    <t>VALOR  TOTAL (A) DE LA ETAPA DE ESTUDIOS Y DISEÑOS</t>
  </si>
  <si>
    <t xml:space="preserve">2. ETAPA CONSTRUCCIÓN DE CANCHA SINTETICA Y OBRAS COMPLEMENTARIAS EN EL MUNICIPIO DE BOJAYA - CHOCO </t>
  </si>
  <si>
    <t>ITEM</t>
  </si>
  <si>
    <t>LOCALIZACION Y REPLANTEO</t>
  </si>
  <si>
    <t>M2</t>
  </si>
  <si>
    <t>DESCAPOTE</t>
  </si>
  <si>
    <t>EXCAVACION MAQUINARIA (INCLUYE RETIRO)</t>
  </si>
  <si>
    <t>M3</t>
  </si>
  <si>
    <t>EXCAVACION MANUAL (INCLUYE RETIRO)</t>
  </si>
  <si>
    <t>LLENO MATERIAL SELECCIONADO COMPACTADO</t>
  </si>
  <si>
    <t>LLENO EN MATERIAL GRANULAR DE ALTA PERMEABILIDAD CLASIFICADO COMPACTADO</t>
  </si>
  <si>
    <t>CONFIGURACION Y NIVELACION DEL TERRENO</t>
  </si>
  <si>
    <t>RIEGO DE IMPRIMACION CON EMULSION ASFALTICA INCLUYE TRANSPORTE Y SUMINISTRO</t>
  </si>
  <si>
    <t>DEMOLICION DE CERRAMIENTO (INCLUYE RETIRO)</t>
  </si>
  <si>
    <t>M</t>
  </si>
  <si>
    <t>CERRAMIENTO PROVISIONAL EN LONA</t>
  </si>
  <si>
    <t>CONFIGURACION- NIVELACION DE TERRENO</t>
  </si>
  <si>
    <t xml:space="preserve">BORDILLOS 0,15 M DE ANCHO 0,50 DE PROFUNDIDAD </t>
  </si>
  <si>
    <t>GRAMA SINTENTICA IMPERMEABILIZANTE EN FIBRA ARTIFICIAL DE POLITILENO INCLUYE RIEGO DE ARENA DE SILICE Y GRANO DE CAUCHO</t>
  </si>
  <si>
    <t>FILTRO GEODREN (INLCUYE EXCAV Y RELLENO)</t>
  </si>
  <si>
    <t xml:space="preserve">INSTALACION DE TUBERIA PVC PARA CONEXIÓN AL CONECTOR PRINCIPAL DE ALCANTARILLADO 8” </t>
  </si>
  <si>
    <t>CAJAS DE INSPECCION DE 0.80 X 0.80</t>
  </si>
  <si>
    <t>UN</t>
  </si>
  <si>
    <t xml:space="preserve">MURO DE CONCRETO  3500 PSI INCLUYE ACERO DE REFUERZO </t>
  </si>
  <si>
    <t>CERRAMIENTO PERIMETRAL MURO Y MALLA</t>
  </si>
  <si>
    <t>DOTACION (ARCOS DE FUTBOL 7)</t>
  </si>
  <si>
    <t>DEMARCACION</t>
  </si>
  <si>
    <t>MALLA (anti-escape de balón) Incluye soporte</t>
  </si>
  <si>
    <t xml:space="preserve">LIMPIEZA TOTAL </t>
  </si>
  <si>
    <t>VALOR COSTOS DIRECTOS</t>
  </si>
  <si>
    <t>VALOR COSTOS INDIRECTOS</t>
  </si>
  <si>
    <t xml:space="preserve">ADMINISTRACION </t>
  </si>
  <si>
    <t>%</t>
  </si>
  <si>
    <t>IMPREVISTOS</t>
  </si>
  <si>
    <t>UTILIDAD</t>
  </si>
  <si>
    <t>VALOR IVA 19% SOBRE UTILIDAD</t>
  </si>
  <si>
    <t>(B)</t>
  </si>
  <si>
    <t>VALOR  TOTAL ETAPA CONSTRUCCION</t>
  </si>
  <si>
    <t>RESUMEN DE TOTAL DE LA OFERTA</t>
  </si>
  <si>
    <t>VALOR ETAPA DE ESTUDIOS Y DISEÑOS</t>
  </si>
  <si>
    <t>VALOR ETAPA DE CONSTRUCCION</t>
  </si>
  <si>
    <t>(C)</t>
  </si>
  <si>
    <t>VALOR  TOTAL =  (A)  + (B)</t>
  </si>
  <si>
    <t>1. ETAPA ESTUDIOS Y DISEÑOS</t>
  </si>
  <si>
    <t>Ejecutar, por riesgo y cuenta propia, el proyecto “Estudios, diseño y Construcción de la cancha sintética y obras complementarias en el municipio de Bojayá – Chocó”. Para ello, El contratista seleccionado ejecutará las dos etapas que comprende el proyecto: Etapa I: Ajustes a los estudios y diseños hasta llevarlo a fase de maduración III. Etapa II: Ejecución de las obras.</t>
  </si>
  <si>
    <t>Tubería de aguas lluvias 8”</t>
  </si>
  <si>
    <t>Canal de cubierta</t>
  </si>
  <si>
    <t>Bajantes 8”</t>
  </si>
  <si>
    <t>CAPITULO ELÉCTRICO (postes - dados de concreto o alternativa de iluminación en cubierta, 15 reflectores, cableado, cajas, tubería, tablero) incluye certificado</t>
  </si>
  <si>
    <t>Estructura de cubierta</t>
  </si>
  <si>
    <t>CUADRO COMPARATIVO DE INVESTIGACIÓN DE MERCADO</t>
  </si>
  <si>
    <t>SUBDIRECCIÓN DE CONTRATACIÓN - GRUPO DE INVESTIGACIÓN DE MERCADO</t>
  </si>
  <si>
    <t>DEPENDENCIA SOLICITANTE:</t>
  </si>
  <si>
    <t>NOMBRE DEL BIEN O SERVICIO SOLICITADO:</t>
  </si>
  <si>
    <t>FECHA:</t>
  </si>
  <si>
    <t xml:space="preserve"> </t>
  </si>
  <si>
    <t>ESTA INVESTIGACIÓN DE MERCADO ES REALIZADA 
DE ACUERDO CON LA FICHA TÉCNICA.</t>
  </si>
  <si>
    <t>NOMBRE DEL ANALISTA:</t>
  </si>
  <si>
    <t>Geovanni Alfonso Bermúdez Segura</t>
  </si>
  <si>
    <t>Dirección de Infraestructura Social y Hábitat</t>
  </si>
  <si>
    <t xml:space="preserve">Código: </t>
  </si>
  <si>
    <t>F-ADQ-002</t>
  </si>
  <si>
    <t xml:space="preserve">Fecha de aprobación: </t>
  </si>
  <si>
    <t xml:space="preserve">Versión: </t>
  </si>
  <si>
    <t>PROVEEDOR 1</t>
  </si>
  <si>
    <t>PROVEEDOR 2</t>
  </si>
  <si>
    <t>PROVEEDOR 3</t>
  </si>
  <si>
    <t>PROVEEDOR 4</t>
  </si>
  <si>
    <t>PROVEEDOR 5</t>
  </si>
  <si>
    <t>INVESTIGACIÓN DE MERCADO</t>
  </si>
  <si>
    <t>EVALUACIÓN DEL ANALISTA</t>
  </si>
  <si>
    <t>Proveedor</t>
  </si>
  <si>
    <t>Fecha de la cotización</t>
  </si>
  <si>
    <t>IVA</t>
  </si>
  <si>
    <t>SI</t>
  </si>
  <si>
    <t xml:space="preserve">NO </t>
  </si>
  <si>
    <t>X</t>
  </si>
  <si>
    <t>Elaboró:</t>
  </si>
  <si>
    <t xml:space="preserve">Geovanni Alfonso Bermúdez Segura - Profesional Especializado Subdirección de Contratación </t>
  </si>
  <si>
    <t>Revisó:</t>
  </si>
  <si>
    <t xml:space="preserve">Armando Arango Cabra - Coordinador GIT Investigación de Mercado - Subdirección de Contratación </t>
  </si>
  <si>
    <t xml:space="preserve">Aprobó: </t>
  </si>
  <si>
    <t>Diana Sandoval Aramburo - Subdirectora de Contratación</t>
  </si>
  <si>
    <t xml:space="preserve">PROVEEDOR 1: ECONTAINERS SAS  </t>
  </si>
  <si>
    <t>PROVEEDOR 2: CONCREACERO</t>
  </si>
  <si>
    <t>PROVEEDOR 3: GRUPO ASCENSO</t>
  </si>
  <si>
    <t>PROVEEDOR 4: INGENIERÍA CODISER PALACIOS</t>
  </si>
  <si>
    <t>PROVEEDOR 5: PLEXIMUNDO</t>
  </si>
  <si>
    <t>Carlos Javier Mendez Suarez - Contratista Direccion De Infraestructura Social Y Habitat</t>
  </si>
  <si>
    <t>Albert Jose Campo Camargo - Contratista Direccion De Infraestructura Social Y Habitat</t>
  </si>
  <si>
    <t>Otros no cotizados</t>
  </si>
  <si>
    <t>No cotiza</t>
  </si>
  <si>
    <t>Promedio</t>
  </si>
  <si>
    <t>Des Estandar</t>
  </si>
  <si>
    <t>Min</t>
  </si>
  <si>
    <t>Max</t>
  </si>
  <si>
    <t xml:space="preserve">Jose Andres Torres Rodriguez - Director de Infraestructura Social y Habitat (e) </t>
  </si>
  <si>
    <t>NOTAS:</t>
  </si>
  <si>
    <t>Proponente:</t>
  </si>
  <si>
    <t>Firma del Representante Legal:</t>
  </si>
  <si>
    <t>Nombre del Representante Legal:</t>
  </si>
  <si>
    <t>Documento de Identificación del Representante Legal:</t>
  </si>
  <si>
    <t xml:space="preserve">VALOR TOTAL PROPUESTA ECONÓMICA </t>
  </si>
  <si>
    <t>CANTIDAD
(pruebas)</t>
  </si>
  <si>
    <t>VALOR UNITARIO ANTES DE IVA OFRECIDO</t>
  </si>
  <si>
    <t>VALOR UNITARIO IVA INCLUIDO OFRECIDO</t>
  </si>
  <si>
    <t>VALOR TOTAL OFRECIDO</t>
  </si>
  <si>
    <t>El proponente debe registrar el valor unitario antes de IVA y el Valor IVA (si aplica) ofrecidos para la realización de cada prueba (celdas resaltadas en amarillo).</t>
  </si>
  <si>
    <t>Adquirir el licenciamiento de uso de una herramienta para la realización de NUEVE MIL OCHOCIENTAS (9.800) prueba(s) psicotécnica(s),de uso y administración en línea y fuera de línea (on line y off line) a través de la cual se evalúen las competencias transversales de los buscadores de empleo con el fin de facilitar el perfilamiento ocupacional, de acuerdo con las necesidades de los empleadores, apoyando así la ejecución del Programa Empléate, la operación de la Red de prestadores autorizados del Servicio Público de Empleo y las diferentes iniciativas que se generen o apoyen desde el Grupo de Empleabilidad de Prosperidad Social.</t>
  </si>
  <si>
    <t>IVA
(si aplica)</t>
  </si>
  <si>
    <t xml:space="preserve">1. Para el presente proceso de selección, la única causal de rechazo es que el proponente no allegue la oferta económica en el presente formato, o que una vez esté diligenciado el mismo, supere el presupuesto oficial estimado por la Entidad, correspondiente a OCHENTA Y SIETE MILLONES SEISCIENTOS SESENTA Y UN MIL PESOS M/CTE. </t>
  </si>
  <si>
    <t xml:space="preserve">2. El proponente debe contemplar dentro de su propuesta todos los costos e impuestos, tasas y contribuciones a que haya lugar, en los que incurrirá el Contratista para la ejecución del contrato, así como todos los costos que implique la adecuada ejecución del objeto y obligaciones del contrato. </t>
  </si>
  <si>
    <r>
      <t>En constancia de lo anterior, y como manifestación del compromiso incorporado en el presente documento, se firma el mismo en la ciudad de ____________, a los (___) días del mes de (</t>
    </r>
    <r>
      <rPr>
        <i/>
        <sz val="12"/>
        <color theme="1"/>
        <rFont val="Calibri"/>
        <family val="2"/>
        <scheme val="minor"/>
      </rPr>
      <t>___________</t>
    </r>
    <r>
      <rPr>
        <sz val="12"/>
        <color theme="1"/>
        <rFont val="Calibri"/>
        <family val="2"/>
        <scheme val="minor"/>
      </rPr>
      <t xml:space="preserve">) de 2020. </t>
    </r>
  </si>
  <si>
    <t xml:space="preserve">3. El valor total de la propuesta económica debe presentarse en pesos colombianos, por lo tanto, no debe utilizar centavos es decir, registrar los valores unitarios en números enteros. </t>
  </si>
  <si>
    <t>ANEXO No. 2 PRESENTACIÓN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</si>
</sst>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C0A]d\ &quot;de&quot;\ mmmm\ &quot;de&quot;\ yyyy;@"/>
    <numFmt numFmtId="165" formatCode="_-* #,##0.00_-;\-* #,##0.00_-;_-* &quot;-&quot;_-;_-@_-"/>
    <numFmt numFmtId="166" formatCode="_-&quot;$&quot;* #,##0_-;\-&quot;$&quot;* #,##0_-;_-&quot;$&quot;* &quot;-&quot;_-;_-@_-"/>
  </numFmts>
  <fonts count="26" x14ac:knownFonts="1">
    <font>
      <sz val="11"/>
      <color theme="1"/>
      <name val="Calibri"/>
      <family val="2"/>
      <scheme val="minor"/>
    </font>
    <font>
      <sz val="11"/>
      <color theme="1"/>
      <name val="Calibri"/>
      <family val="2"/>
      <scheme val="minor"/>
    </font>
    <font>
      <b/>
      <sz val="14"/>
      <color indexed="8"/>
      <name val="Arial Narrow"/>
      <family val="2"/>
    </font>
    <font>
      <b/>
      <sz val="12"/>
      <name val="Arial Narrow"/>
      <family val="2"/>
    </font>
    <font>
      <sz val="12"/>
      <name val="Arial Narrow"/>
      <family val="2"/>
    </font>
    <font>
      <b/>
      <sz val="12"/>
      <color indexed="8"/>
      <name val="Arial Narrow"/>
      <family val="2"/>
    </font>
    <font>
      <sz val="12"/>
      <color indexed="8"/>
      <name val="Arial Narrow"/>
      <family val="2"/>
    </font>
    <font>
      <b/>
      <sz val="10"/>
      <name val="Calibri"/>
      <family val="2"/>
      <scheme val="minor"/>
    </font>
    <font>
      <b/>
      <sz val="10"/>
      <color indexed="8"/>
      <name val="Calibri"/>
      <family val="2"/>
      <scheme val="minor"/>
    </font>
    <font>
      <sz val="8"/>
      <name val="Calibri"/>
      <family val="2"/>
      <scheme val="minor"/>
    </font>
    <font>
      <sz val="10"/>
      <name val="Arial Narrow"/>
      <family val="2"/>
    </font>
    <font>
      <b/>
      <sz val="10"/>
      <color indexed="8"/>
      <name val="Arial Narrow"/>
      <family val="2"/>
    </font>
    <font>
      <sz val="8"/>
      <name val="Arial Narrow"/>
      <family val="2"/>
    </font>
    <font>
      <b/>
      <sz val="10"/>
      <name val="Arial Narrow"/>
      <family val="2"/>
    </font>
    <font>
      <b/>
      <sz val="8"/>
      <name val="Arial Narrow"/>
      <family val="2"/>
    </font>
    <font>
      <b/>
      <sz val="14"/>
      <name val="Arial Narrow"/>
      <family val="2"/>
    </font>
    <font>
      <sz val="14"/>
      <name val="Arial Narrow"/>
      <family val="2"/>
    </font>
    <font>
      <b/>
      <sz val="12"/>
      <color rgb="FF000000"/>
      <name val="Arial Narrow"/>
      <family val="2"/>
    </font>
    <font>
      <sz val="12"/>
      <color theme="1"/>
      <name val="Arial Narrow"/>
      <family val="2"/>
    </font>
    <font>
      <sz val="12"/>
      <color rgb="FF000000"/>
      <name val="Arial Narrow"/>
      <family val="2"/>
    </font>
    <font>
      <sz val="10"/>
      <color indexed="8"/>
      <name val="MS Sans Serif"/>
    </font>
    <font>
      <b/>
      <sz val="11"/>
      <color theme="1"/>
      <name val="Calibri"/>
      <family val="2"/>
      <scheme val="minor"/>
    </font>
    <font>
      <sz val="12"/>
      <color theme="1"/>
      <name val="Calibri"/>
      <family val="2"/>
      <scheme val="minor"/>
    </font>
    <font>
      <i/>
      <sz val="12"/>
      <color theme="1"/>
      <name val="Calibri"/>
      <family val="2"/>
      <scheme val="minor"/>
    </font>
    <font>
      <sz val="12"/>
      <color rgb="FF000000"/>
      <name val="Calibri"/>
      <family val="2"/>
      <scheme val="minor"/>
    </font>
    <font>
      <sz val="12"/>
      <color indexed="8"/>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20" fillId="0" borderId="0"/>
    <xf numFmtId="41" fontId="1" fillId="0" borderId="0" applyFont="0" applyFill="0" applyBorder="0" applyAlignment="0" applyProtection="0"/>
    <xf numFmtId="166" fontId="1" fillId="0" borderId="0" applyFont="0" applyFill="0" applyBorder="0" applyAlignment="0" applyProtection="0"/>
  </cellStyleXfs>
  <cellXfs count="229">
    <xf numFmtId="0" fontId="0" fillId="0" borderId="0" xfId="0"/>
    <xf numFmtId="0" fontId="4" fillId="0" borderId="0" xfId="0" applyFont="1" applyAlignment="1">
      <alignment vertical="center"/>
    </xf>
    <xf numFmtId="0" fontId="5" fillId="4" borderId="14" xfId="0" applyFont="1" applyFill="1" applyBorder="1" applyAlignment="1">
      <alignment horizontal="left" vertical="center"/>
    </xf>
    <xf numFmtId="0" fontId="5" fillId="4" borderId="0" xfId="0" applyFont="1" applyFill="1" applyAlignment="1">
      <alignment horizontal="left" vertical="center"/>
    </xf>
    <xf numFmtId="0" fontId="6" fillId="4" borderId="0" xfId="0" applyFont="1" applyFill="1" applyAlignment="1">
      <alignment horizontal="center" vertical="center"/>
    </xf>
    <xf numFmtId="0" fontId="6" fillId="4" borderId="15" xfId="0" applyFont="1" applyFill="1" applyBorder="1" applyAlignment="1">
      <alignment horizontal="center" vertical="center"/>
    </xf>
    <xf numFmtId="0" fontId="5" fillId="4" borderId="0" xfId="0" applyFont="1" applyFill="1" applyAlignment="1">
      <alignment horizontal="center" vertical="center"/>
    </xf>
    <xf numFmtId="0" fontId="5" fillId="4" borderId="14" xfId="0" applyFont="1" applyFill="1" applyBorder="1" applyAlignment="1">
      <alignment vertical="center"/>
    </xf>
    <xf numFmtId="0" fontId="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3" fillId="4" borderId="0" xfId="0" applyFont="1" applyFill="1" applyAlignment="1">
      <alignment vertical="center"/>
    </xf>
    <xf numFmtId="0" fontId="3" fillId="4" borderId="0" xfId="0" applyFont="1" applyFill="1" applyAlignment="1">
      <alignment vertical="center" wrapText="1"/>
    </xf>
    <xf numFmtId="0" fontId="8" fillId="4" borderId="14" xfId="0" applyFont="1" applyFill="1" applyBorder="1" applyAlignment="1">
      <alignment horizontal="center" vertical="center"/>
    </xf>
    <xf numFmtId="0" fontId="0" fillId="0" borderId="0" xfId="0" applyAlignment="1">
      <alignment vertical="center"/>
    </xf>
    <xf numFmtId="0" fontId="4" fillId="4" borderId="16" xfId="0" applyFont="1" applyFill="1" applyBorder="1" applyAlignment="1">
      <alignment vertical="center" wrapText="1"/>
    </xf>
    <xf numFmtId="0" fontId="4" fillId="4" borderId="0" xfId="0" applyFont="1" applyFill="1" applyBorder="1" applyAlignment="1">
      <alignment horizontal="center" vertical="center"/>
    </xf>
    <xf numFmtId="0" fontId="4" fillId="4" borderId="0" xfId="0" applyFont="1" applyFill="1" applyBorder="1" applyAlignment="1">
      <alignment vertical="center"/>
    </xf>
    <xf numFmtId="0" fontId="3" fillId="0" borderId="25" xfId="0" applyFont="1" applyBorder="1" applyAlignment="1">
      <alignment horizontal="center" vertical="center"/>
    </xf>
    <xf numFmtId="14" fontId="3" fillId="0" borderId="26" xfId="0" applyNumberFormat="1" applyFont="1" applyBorder="1" applyAlignment="1">
      <alignment horizontal="center" vertical="center"/>
    </xf>
    <xf numFmtId="0" fontId="10" fillId="0" borderId="0" xfId="0" applyFont="1" applyAlignment="1">
      <alignment vertical="center"/>
    </xf>
    <xf numFmtId="0" fontId="11" fillId="4" borderId="31" xfId="0" applyFont="1" applyFill="1" applyBorder="1" applyAlignment="1">
      <alignment vertical="center"/>
    </xf>
    <xf numFmtId="0" fontId="11" fillId="4" borderId="7" xfId="0" applyFont="1" applyFill="1" applyBorder="1" applyAlignment="1">
      <alignment vertical="center"/>
    </xf>
    <xf numFmtId="0" fontId="11" fillId="4" borderId="13" xfId="0" applyFont="1" applyFill="1" applyBorder="1" applyAlignment="1">
      <alignment vertical="center"/>
    </xf>
    <xf numFmtId="0" fontId="5" fillId="4" borderId="2" xfId="0" applyFont="1" applyFill="1" applyBorder="1" applyAlignment="1">
      <alignment horizontal="center" vertical="center"/>
    </xf>
    <xf numFmtId="0" fontId="11" fillId="4" borderId="33" xfId="0" applyFont="1" applyFill="1" applyBorder="1" applyAlignment="1">
      <alignment vertical="center"/>
    </xf>
    <xf numFmtId="0" fontId="11" fillId="4" borderId="15" xfId="0" applyFont="1" applyFill="1" applyBorder="1" applyAlignment="1">
      <alignment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4"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11" fillId="4" borderId="36" xfId="0" applyFont="1" applyFill="1" applyBorder="1" applyAlignment="1">
      <alignment vertical="center"/>
    </xf>
    <xf numFmtId="0" fontId="11" fillId="4" borderId="18" xfId="0" applyFont="1" applyFill="1" applyBorder="1" applyAlignment="1">
      <alignment vertical="center"/>
    </xf>
    <xf numFmtId="0" fontId="11" fillId="4" borderId="19" xfId="0" applyFont="1" applyFill="1" applyBorder="1" applyAlignment="1">
      <alignment vertical="center"/>
    </xf>
    <xf numFmtId="0" fontId="12" fillId="4" borderId="6" xfId="0" applyFont="1" applyFill="1" applyBorder="1" applyAlignment="1">
      <alignment vertical="center"/>
    </xf>
    <xf numFmtId="0" fontId="12" fillId="4" borderId="7" xfId="0" applyFont="1" applyFill="1" applyBorder="1" applyAlignment="1">
      <alignment vertical="center"/>
    </xf>
    <xf numFmtId="0" fontId="13" fillId="4" borderId="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2" fillId="0" borderId="0" xfId="0" applyFont="1" applyAlignment="1">
      <alignment vertical="center"/>
    </xf>
    <xf numFmtId="0" fontId="14" fillId="4" borderId="14" xfId="0" applyFont="1" applyFill="1" applyBorder="1" applyAlignment="1">
      <alignment vertical="center"/>
    </xf>
    <xf numFmtId="0" fontId="14" fillId="4" borderId="14" xfId="0" applyFont="1" applyFill="1" applyBorder="1" applyAlignment="1">
      <alignment vertical="center" wrapText="1"/>
    </xf>
    <xf numFmtId="0" fontId="12" fillId="4" borderId="14" xfId="0" applyFont="1" applyFill="1" applyBorder="1" applyAlignment="1">
      <alignment vertical="center"/>
    </xf>
    <xf numFmtId="0" fontId="14" fillId="4" borderId="17" xfId="0" applyFont="1" applyFill="1" applyBorder="1" applyAlignment="1">
      <alignment vertical="center"/>
    </xf>
    <xf numFmtId="0" fontId="14" fillId="4" borderId="18" xfId="0" applyFont="1" applyFill="1" applyBorder="1" applyAlignment="1">
      <alignment vertical="center"/>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0" fillId="0" borderId="0" xfId="0" applyBorder="1"/>
    <xf numFmtId="0" fontId="5" fillId="4" borderId="0" xfId="0" applyFont="1" applyFill="1" applyBorder="1" applyAlignment="1">
      <alignment vertical="center"/>
    </xf>
    <xf numFmtId="0" fontId="6"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0" borderId="15" xfId="0" applyBorder="1"/>
    <xf numFmtId="0" fontId="4" fillId="4" borderId="0" xfId="0" applyFont="1" applyFill="1" applyBorder="1" applyAlignment="1">
      <alignment horizontal="left" vertical="center"/>
    </xf>
    <xf numFmtId="0" fontId="8" fillId="4" borderId="0" xfId="0" applyFont="1" applyFill="1" applyBorder="1" applyAlignment="1">
      <alignment horizontal="center" vertical="center"/>
    </xf>
    <xf numFmtId="0" fontId="0" fillId="0" borderId="14" xfId="0" applyBorder="1"/>
    <xf numFmtId="0" fontId="10" fillId="0" borderId="0" xfId="0" applyFont="1" applyBorder="1" applyAlignment="1">
      <alignment vertical="center"/>
    </xf>
    <xf numFmtId="0" fontId="11" fillId="4" borderId="0" xfId="0" applyFont="1" applyFill="1" applyBorder="1" applyAlignment="1">
      <alignment vertical="center"/>
    </xf>
    <xf numFmtId="0" fontId="14" fillId="4" borderId="0" xfId="0" applyFont="1" applyFill="1" applyBorder="1" applyAlignment="1">
      <alignment vertical="center"/>
    </xf>
    <xf numFmtId="0" fontId="15" fillId="4" borderId="0" xfId="0" applyFont="1" applyFill="1" applyBorder="1" applyAlignment="1">
      <alignment horizontal="left" vertical="center" wrapText="1"/>
    </xf>
    <xf numFmtId="10" fontId="14" fillId="4" borderId="0" xfId="0" applyNumberFormat="1" applyFont="1" applyFill="1" applyBorder="1" applyAlignment="1">
      <alignment horizontal="left" vertical="center"/>
    </xf>
    <xf numFmtId="0" fontId="13" fillId="4" borderId="0" xfId="0" applyFont="1" applyFill="1" applyBorder="1" applyAlignment="1">
      <alignment horizontal="center" vertical="center" wrapText="1"/>
    </xf>
    <xf numFmtId="0" fontId="12" fillId="4" borderId="0" xfId="0" applyFont="1" applyFill="1" applyBorder="1" applyAlignment="1">
      <alignment vertical="center"/>
    </xf>
    <xf numFmtId="0" fontId="6" fillId="4" borderId="0" xfId="0" applyFont="1" applyFill="1" applyBorder="1" applyAlignment="1">
      <alignment vertical="center"/>
    </xf>
    <xf numFmtId="0" fontId="0" fillId="0" borderId="0" xfId="0" applyBorder="1" applyAlignment="1"/>
    <xf numFmtId="0" fontId="3" fillId="0" borderId="26" xfId="0" applyFont="1" applyBorder="1" applyAlignment="1">
      <alignment horizontal="center" vertical="center"/>
    </xf>
    <xf numFmtId="0" fontId="18" fillId="0" borderId="0" xfId="0" applyFont="1" applyBorder="1"/>
    <xf numFmtId="0" fontId="18" fillId="0" borderId="0" xfId="0" applyFont="1"/>
    <xf numFmtId="0" fontId="18" fillId="0" borderId="14" xfId="0" applyFont="1" applyBorder="1"/>
    <xf numFmtId="0" fontId="18" fillId="0" borderId="15" xfId="0" applyFont="1" applyBorder="1"/>
    <xf numFmtId="0" fontId="17" fillId="3" borderId="37"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12"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4" fontId="19" fillId="2" borderId="12" xfId="0" applyNumberFormat="1" applyFont="1" applyFill="1" applyBorder="1" applyAlignment="1">
      <alignment horizontal="right" vertical="center" wrapText="1"/>
    </xf>
    <xf numFmtId="0" fontId="17" fillId="2" borderId="37"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4" fontId="17" fillId="2" borderId="12" xfId="0" applyNumberFormat="1" applyFont="1" applyFill="1" applyBorder="1" applyAlignment="1">
      <alignment horizontal="right" vertical="center" wrapText="1"/>
    </xf>
    <xf numFmtId="4" fontId="17" fillId="3" borderId="12" xfId="0" applyNumberFormat="1" applyFont="1" applyFill="1" applyBorder="1" applyAlignment="1">
      <alignment horizontal="right" vertical="center" wrapText="1"/>
    </xf>
    <xf numFmtId="0" fontId="19" fillId="2" borderId="37" xfId="0" applyFont="1" applyFill="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horizontal="center" vertical="center"/>
    </xf>
    <xf numFmtId="3" fontId="19" fillId="0" borderId="1" xfId="0" applyNumberFormat="1" applyFont="1" applyBorder="1" applyAlignment="1">
      <alignment horizontal="right" vertical="center"/>
    </xf>
    <xf numFmtId="4" fontId="19" fillId="2" borderId="3" xfId="0" applyNumberFormat="1" applyFont="1" applyFill="1" applyBorder="1" applyAlignment="1">
      <alignment horizontal="center" vertical="center" wrapText="1"/>
    </xf>
    <xf numFmtId="0" fontId="19" fillId="2" borderId="12" xfId="0" applyFont="1" applyFill="1" applyBorder="1" applyAlignment="1">
      <alignment horizontal="right" vertical="center"/>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right" vertical="center" wrapText="1"/>
    </xf>
    <xf numFmtId="4" fontId="17" fillId="2" borderId="12" xfId="0" applyNumberFormat="1" applyFont="1" applyFill="1" applyBorder="1" applyAlignment="1">
      <alignment horizontal="right" vertical="center"/>
    </xf>
    <xf numFmtId="0" fontId="19" fillId="2" borderId="1" xfId="0" applyFont="1" applyFill="1" applyBorder="1" applyAlignment="1">
      <alignment horizontal="justify" vertical="center" wrapText="1"/>
    </xf>
    <xf numFmtId="0" fontId="19" fillId="2" borderId="1" xfId="0" applyFont="1" applyFill="1" applyBorder="1" applyAlignment="1">
      <alignment horizontal="center" vertical="center"/>
    </xf>
    <xf numFmtId="10" fontId="19" fillId="2" borderId="1" xfId="1" applyNumberFormat="1" applyFont="1" applyFill="1" applyBorder="1" applyAlignment="1">
      <alignment horizontal="center" vertical="center" wrapText="1"/>
    </xf>
    <xf numFmtId="0" fontId="19" fillId="2" borderId="1" xfId="0" applyFont="1" applyFill="1" applyBorder="1" applyAlignment="1">
      <alignment horizontal="right" vertical="center" wrapText="1"/>
    </xf>
    <xf numFmtId="10" fontId="17" fillId="2" borderId="1" xfId="0" applyNumberFormat="1" applyFont="1" applyFill="1" applyBorder="1" applyAlignment="1">
      <alignment horizontal="center" vertical="center" wrapText="1"/>
    </xf>
    <xf numFmtId="4" fontId="19" fillId="2" borderId="12" xfId="0" applyNumberFormat="1" applyFont="1" applyFill="1" applyBorder="1" applyAlignment="1">
      <alignment horizontal="right" vertical="center"/>
    </xf>
    <xf numFmtId="0" fontId="17" fillId="3" borderId="37" xfId="0" applyFont="1" applyFill="1" applyBorder="1" applyAlignment="1">
      <alignment horizontal="center" vertical="center"/>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right" vertical="center" wrapText="1"/>
    </xf>
    <xf numFmtId="0" fontId="17" fillId="2" borderId="37" xfId="0" applyFont="1" applyFill="1" applyBorder="1" applyAlignment="1">
      <alignment horizontal="center" vertical="center"/>
    </xf>
    <xf numFmtId="0" fontId="18" fillId="0" borderId="17" xfId="0" applyFont="1" applyBorder="1" applyAlignment="1">
      <alignment vertical="center"/>
    </xf>
    <xf numFmtId="0" fontId="18" fillId="0" borderId="18" xfId="0" applyFont="1" applyBorder="1" applyAlignment="1">
      <alignment vertical="center"/>
    </xf>
    <xf numFmtId="44" fontId="18" fillId="0" borderId="18" xfId="3" applyFont="1" applyBorder="1" applyAlignment="1">
      <alignment vertical="center"/>
    </xf>
    <xf numFmtId="0" fontId="18" fillId="0" borderId="19" xfId="0" applyFont="1" applyBorder="1" applyAlignment="1">
      <alignment vertical="center"/>
    </xf>
    <xf numFmtId="0" fontId="4" fillId="0" borderId="0" xfId="0" applyFont="1" applyBorder="1" applyAlignment="1">
      <alignment vertical="center"/>
    </xf>
    <xf numFmtId="0" fontId="18" fillId="0" borderId="0" xfId="0" applyFont="1" applyAlignment="1">
      <alignment vertical="center"/>
    </xf>
    <xf numFmtId="165" fontId="19" fillId="2" borderId="1" xfId="2" applyNumberFormat="1" applyFont="1" applyFill="1" applyBorder="1" applyAlignment="1">
      <alignment horizontal="center" vertical="center" wrapText="1"/>
    </xf>
    <xf numFmtId="165" fontId="19" fillId="2" borderId="12" xfId="2" applyNumberFormat="1" applyFont="1" applyFill="1" applyBorder="1" applyAlignment="1">
      <alignment horizontal="right" vertical="center" wrapText="1"/>
    </xf>
    <xf numFmtId="165" fontId="17" fillId="2" borderId="1" xfId="2" applyNumberFormat="1" applyFont="1" applyFill="1" applyBorder="1" applyAlignment="1">
      <alignment horizontal="center" vertical="center" wrapText="1"/>
    </xf>
    <xf numFmtId="165" fontId="17" fillId="2" borderId="1" xfId="2" applyNumberFormat="1" applyFont="1" applyFill="1" applyBorder="1" applyAlignment="1">
      <alignment vertical="center" wrapText="1"/>
    </xf>
    <xf numFmtId="165" fontId="17" fillId="2" borderId="12" xfId="2" applyNumberFormat="1" applyFont="1" applyFill="1" applyBorder="1" applyAlignment="1">
      <alignment horizontal="right" vertical="center" wrapText="1"/>
    </xf>
    <xf numFmtId="165" fontId="17" fillId="3" borderId="1" xfId="2" applyNumberFormat="1" applyFont="1" applyFill="1" applyBorder="1" applyAlignment="1">
      <alignment horizontal="center" vertical="center" wrapText="1"/>
    </xf>
    <xf numFmtId="165" fontId="17" fillId="3" borderId="1" xfId="2" applyNumberFormat="1" applyFont="1" applyFill="1" applyBorder="1" applyAlignment="1">
      <alignment vertical="center" wrapText="1"/>
    </xf>
    <xf numFmtId="165" fontId="17" fillId="3" borderId="12" xfId="2" applyNumberFormat="1" applyFont="1" applyFill="1" applyBorder="1" applyAlignment="1">
      <alignment horizontal="right" vertical="center" wrapText="1"/>
    </xf>
    <xf numFmtId="4" fontId="19" fillId="0" borderId="3" xfId="0" applyNumberFormat="1" applyFont="1" applyBorder="1" applyAlignment="1">
      <alignment horizontal="right" vertical="center"/>
    </xf>
    <xf numFmtId="4" fontId="17" fillId="2" borderId="1" xfId="0" applyNumberFormat="1" applyFont="1" applyFill="1" applyBorder="1" applyAlignment="1">
      <alignment horizontal="right" vertical="center" wrapText="1"/>
    </xf>
    <xf numFmtId="4" fontId="19" fillId="5" borderId="3" xfId="0" applyNumberFormat="1" applyFont="1" applyFill="1" applyBorder="1" applyAlignment="1">
      <alignment horizontal="right" vertical="center"/>
    </xf>
    <xf numFmtId="4" fontId="19" fillId="5" borderId="12" xfId="0" applyNumberFormat="1" applyFont="1" applyFill="1" applyBorder="1" applyAlignment="1">
      <alignment horizontal="right" vertical="center" wrapText="1"/>
    </xf>
    <xf numFmtId="4" fontId="19" fillId="0" borderId="12" xfId="0" applyNumberFormat="1" applyFont="1" applyFill="1" applyBorder="1" applyAlignment="1">
      <alignment horizontal="right" vertical="center" wrapText="1"/>
    </xf>
    <xf numFmtId="4" fontId="19" fillId="5" borderId="5" xfId="0" applyNumberFormat="1" applyFont="1" applyFill="1" applyBorder="1" applyAlignment="1">
      <alignment horizontal="right" vertical="center"/>
    </xf>
    <xf numFmtId="0" fontId="19" fillId="5" borderId="5" xfId="0" applyFont="1" applyFill="1" applyBorder="1" applyAlignment="1">
      <alignment horizontal="justify" vertical="center" wrapText="1"/>
    </xf>
    <xf numFmtId="0" fontId="18" fillId="0" borderId="0" xfId="0" applyFont="1" applyBorder="1" applyAlignment="1">
      <alignment horizontal="center"/>
    </xf>
    <xf numFmtId="0" fontId="18" fillId="0" borderId="0" xfId="0" applyFont="1" applyAlignment="1">
      <alignment horizontal="center"/>
    </xf>
    <xf numFmtId="165" fontId="18" fillId="0" borderId="0" xfId="0" applyNumberFormat="1" applyFont="1" applyBorder="1"/>
    <xf numFmtId="165" fontId="18" fillId="0" borderId="0" xfId="0" applyNumberFormat="1" applyFont="1"/>
    <xf numFmtId="43" fontId="18" fillId="0" borderId="0" xfId="0" applyNumberFormat="1" applyFont="1"/>
    <xf numFmtId="10" fontId="18" fillId="0" borderId="0" xfId="1" applyNumberFormat="1" applyFont="1" applyBorder="1"/>
    <xf numFmtId="10" fontId="18" fillId="0" borderId="0" xfId="1" applyNumberFormat="1" applyFont="1"/>
    <xf numFmtId="10" fontId="19" fillId="2" borderId="3" xfId="1" applyNumberFormat="1" applyFont="1" applyFill="1" applyBorder="1" applyAlignment="1">
      <alignment horizontal="center" vertical="center" wrapText="1"/>
    </xf>
    <xf numFmtId="0" fontId="19" fillId="5" borderId="37"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5" xfId="0" applyFont="1" applyFill="1" applyBorder="1" applyAlignment="1">
      <alignment horizontal="right" vertical="center"/>
    </xf>
    <xf numFmtId="4" fontId="19" fillId="5" borderId="1" xfId="0" applyNumberFormat="1" applyFont="1" applyFill="1" applyBorder="1" applyAlignment="1">
      <alignment horizontal="right" vertical="center"/>
    </xf>
    <xf numFmtId="4" fontId="19" fillId="5" borderId="12" xfId="0" applyNumberFormat="1" applyFont="1" applyFill="1" applyBorder="1" applyAlignment="1">
      <alignment horizontal="right" vertical="center"/>
    </xf>
    <xf numFmtId="0" fontId="4" fillId="0" borderId="0" xfId="0" applyFont="1" applyAlignment="1" applyProtection="1">
      <alignment vertical="center"/>
    </xf>
    <xf numFmtId="0" fontId="5" fillId="4" borderId="0" xfId="0" applyFont="1" applyFill="1" applyBorder="1" applyAlignment="1" applyProtection="1">
      <alignment vertical="center"/>
    </xf>
    <xf numFmtId="0" fontId="0" fillId="0" borderId="0" xfId="0" applyAlignme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vertical="center"/>
    </xf>
    <xf numFmtId="0" fontId="19" fillId="2" borderId="1" xfId="0" applyFont="1" applyFill="1" applyBorder="1" applyAlignment="1" applyProtection="1">
      <alignment horizontal="center" vertical="center" wrapText="1"/>
    </xf>
    <xf numFmtId="165" fontId="19" fillId="2" borderId="1" xfId="2" applyNumberFormat="1" applyFont="1" applyFill="1" applyBorder="1" applyAlignment="1" applyProtection="1">
      <alignment horizontal="center" vertical="center" wrapText="1"/>
    </xf>
    <xf numFmtId="165" fontId="19" fillId="2" borderId="1" xfId="2" applyNumberFormat="1" applyFont="1" applyFill="1" applyBorder="1" applyAlignment="1" applyProtection="1">
      <alignment horizontal="right" vertical="center" wrapText="1"/>
    </xf>
    <xf numFmtId="165" fontId="17" fillId="3" borderId="1" xfId="2" applyNumberFormat="1" applyFont="1" applyFill="1" applyBorder="1" applyAlignment="1" applyProtection="1">
      <alignment vertical="center" wrapText="1"/>
    </xf>
    <xf numFmtId="165" fontId="17" fillId="3" borderId="1" xfId="2" applyNumberFormat="1" applyFont="1" applyFill="1" applyBorder="1" applyAlignment="1" applyProtection="1">
      <alignment horizontal="right" vertical="center" wrapText="1"/>
    </xf>
    <xf numFmtId="0" fontId="21" fillId="0" borderId="0" xfId="0" applyFont="1" applyAlignment="1" applyProtection="1">
      <alignment vertical="center"/>
    </xf>
    <xf numFmtId="165" fontId="19" fillId="2" borderId="1" xfId="2"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xf>
    <xf numFmtId="4" fontId="0" fillId="0" borderId="0" xfId="0" applyNumberFormat="1" applyAlignment="1" applyProtection="1">
      <alignment vertical="center"/>
    </xf>
    <xf numFmtId="3" fontId="19" fillId="2" borderId="1" xfId="0" applyNumberFormat="1" applyFont="1" applyFill="1" applyBorder="1" applyAlignment="1" applyProtection="1">
      <alignment horizontal="center" vertical="center" wrapText="1"/>
    </xf>
    <xf numFmtId="0" fontId="22" fillId="0" borderId="0" xfId="0" applyFont="1" applyAlignment="1" applyProtection="1">
      <alignment vertical="center"/>
    </xf>
    <xf numFmtId="0" fontId="22" fillId="4" borderId="0" xfId="0" applyFont="1" applyFill="1" applyAlignment="1" applyProtection="1">
      <alignment horizontal="justify" vertical="center"/>
    </xf>
    <xf numFmtId="0" fontId="22" fillId="4" borderId="0" xfId="0" applyFont="1" applyFill="1" applyAlignment="1" applyProtection="1"/>
    <xf numFmtId="0" fontId="22" fillId="4" borderId="0" xfId="0" applyFont="1" applyFill="1" applyAlignment="1" applyProtection="1">
      <alignment vertical="center"/>
    </xf>
    <xf numFmtId="0" fontId="24" fillId="2" borderId="1" xfId="0" applyFont="1" applyFill="1" applyBorder="1" applyAlignment="1" applyProtection="1">
      <alignment vertical="center" wrapText="1"/>
    </xf>
    <xf numFmtId="0" fontId="16" fillId="4" borderId="11"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4" xfId="0" applyFont="1" applyFill="1" applyBorder="1" applyAlignment="1">
      <alignment horizontal="left" vertical="center" wrapText="1"/>
    </xf>
    <xf numFmtId="14" fontId="4" fillId="4" borderId="2"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14" fontId="4" fillId="4" borderId="35" xfId="0" applyNumberFormat="1" applyFont="1" applyFill="1" applyBorder="1" applyAlignment="1">
      <alignment horizontal="center" vertical="center" wrapText="1"/>
    </xf>
    <xf numFmtId="0" fontId="4" fillId="4" borderId="24"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2"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4" fillId="4" borderId="11" xfId="0" applyFont="1" applyFill="1" applyBorder="1" applyAlignment="1">
      <alignment horizontal="left" vertical="center"/>
    </xf>
    <xf numFmtId="164" fontId="4" fillId="4" borderId="11" xfId="0" applyNumberFormat="1" applyFont="1" applyFill="1" applyBorder="1" applyAlignment="1">
      <alignment horizontal="left" vertical="center"/>
    </xf>
    <xf numFmtId="0" fontId="4" fillId="4" borderId="11" xfId="0" applyFont="1" applyFill="1" applyBorder="1" applyAlignment="1">
      <alignment horizontal="left" vertical="center" wrapText="1"/>
    </xf>
    <xf numFmtId="0" fontId="3" fillId="0" borderId="39"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1"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17" fillId="3" borderId="37"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 xfId="0" applyFont="1" applyFill="1" applyBorder="1" applyAlignment="1" applyProtection="1">
      <alignment horizontal="left" vertical="center" wrapText="1"/>
    </xf>
    <xf numFmtId="0" fontId="22" fillId="0" borderId="0" xfId="0" applyFont="1" applyAlignment="1">
      <alignment horizontal="left" vertical="center" wrapText="1"/>
    </xf>
    <xf numFmtId="0" fontId="2" fillId="4" borderId="0" xfId="0" applyFont="1" applyFill="1" applyBorder="1" applyAlignment="1" applyProtection="1">
      <alignment horizontal="center" vertical="center"/>
      <protection locked="0"/>
    </xf>
    <xf numFmtId="0" fontId="6" fillId="4" borderId="0" xfId="0" applyFont="1" applyFill="1" applyBorder="1" applyAlignment="1" applyProtection="1">
      <alignment horizontal="left" vertical="center" wrapText="1"/>
      <protection locked="0"/>
    </xf>
    <xf numFmtId="0" fontId="25" fillId="4" borderId="0" xfId="0" applyFont="1" applyFill="1" applyBorder="1" applyAlignment="1" applyProtection="1">
      <alignment horizontal="left" vertical="center" wrapText="1"/>
    </xf>
    <xf numFmtId="0" fontId="22" fillId="4" borderId="0" xfId="0" applyFont="1" applyFill="1" applyAlignment="1" applyProtection="1">
      <alignment horizontal="left" vertical="center" wrapText="1"/>
    </xf>
    <xf numFmtId="0" fontId="18"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3" xfId="0" applyFont="1" applyBorder="1" applyAlignment="1" applyProtection="1">
      <alignment horizontal="center" vertical="center"/>
    </xf>
    <xf numFmtId="0" fontId="22" fillId="0" borderId="0" xfId="0" applyFont="1" applyAlignment="1" applyProtection="1">
      <alignment horizontal="left" vertical="center" wrapText="1"/>
    </xf>
    <xf numFmtId="0" fontId="22" fillId="4" borderId="2" xfId="0" applyFont="1" applyFill="1" applyBorder="1" applyAlignment="1" applyProtection="1">
      <alignment horizontal="center" vertical="center" wrapText="1"/>
    </xf>
    <xf numFmtId="0" fontId="22" fillId="4" borderId="3" xfId="0" applyFont="1" applyFill="1" applyBorder="1" applyAlignment="1" applyProtection="1">
      <alignment horizontal="center" vertical="center" wrapText="1"/>
    </xf>
    <xf numFmtId="0" fontId="22" fillId="4" borderId="4" xfId="0" applyFont="1" applyFill="1" applyBorder="1" applyAlignment="1" applyProtection="1">
      <alignment horizontal="center" vertical="center" wrapText="1"/>
    </xf>
  </cellXfs>
  <cellStyles count="7">
    <cellStyle name="Millares [0]" xfId="2" builtinId="6"/>
    <cellStyle name="Millares [0] 2" xfId="5"/>
    <cellStyle name="Moneda" xfId="3" builtinId="4"/>
    <cellStyle name="Moneda [0] 2" xfId="6"/>
    <cellStyle name="Normal" xfId="0" builtinId="0"/>
    <cellStyle name="Normal 2" xfId="4"/>
    <cellStyle name="Porcentaje" xfId="1" builtinId="5"/>
  </cellStyles>
  <dxfs count="31">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90714</xdr:colOff>
      <xdr:row>0</xdr:row>
      <xdr:rowOff>63499</xdr:rowOff>
    </xdr:from>
    <xdr:to>
      <xdr:col>1</xdr:col>
      <xdr:colOff>2186214</xdr:colOff>
      <xdr:row>1</xdr:row>
      <xdr:rowOff>292099</xdr:rowOff>
    </xdr:to>
    <xdr:pic>
      <xdr:nvPicPr>
        <xdr:cNvPr id="5" name="Imagen 4">
          <a:extLst>
            <a:ext uri="{FF2B5EF4-FFF2-40B4-BE49-F238E27FC236}">
              <a16:creationId xmlns:a16="http://schemas.microsoft.com/office/drawing/2014/main" id="{F45666F2-F80E-45F4-BF56-2B3F7250A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14" y="63499"/>
          <a:ext cx="2857500" cy="576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8"/>
  <sheetViews>
    <sheetView showGridLines="0" topLeftCell="A50" zoomScale="55" zoomScaleNormal="55" workbookViewId="0">
      <selection activeCell="J94" sqref="J94"/>
    </sheetView>
  </sheetViews>
  <sheetFormatPr baseColWidth="10" defaultRowHeight="15" x14ac:dyDescent="0.25"/>
  <cols>
    <col min="2" max="2" width="57.7109375" customWidth="1"/>
    <col min="3" max="3" width="17.140625" bestFit="1" customWidth="1"/>
    <col min="5" max="5" width="14" customWidth="1"/>
    <col min="6" max="6" width="16.5703125" bestFit="1" customWidth="1"/>
    <col min="7" max="7" width="16.7109375" bestFit="1" customWidth="1"/>
    <col min="8" max="8" width="15.5703125" bestFit="1" customWidth="1"/>
    <col min="9" max="9" width="14" customWidth="1"/>
    <col min="10" max="10" width="15.5703125" bestFit="1" customWidth="1"/>
    <col min="11" max="11" width="16.7109375" bestFit="1" customWidth="1"/>
    <col min="12" max="12" width="15.5703125" bestFit="1" customWidth="1"/>
    <col min="13" max="13" width="16.7109375" bestFit="1" customWidth="1"/>
    <col min="14" max="14" width="14" customWidth="1"/>
    <col min="15" max="15" width="17.140625" customWidth="1"/>
    <col min="16" max="16" width="17.28515625" customWidth="1"/>
    <col min="17" max="17" width="21.5703125" customWidth="1"/>
    <col min="18" max="18" width="21.28515625" bestFit="1" customWidth="1"/>
    <col min="19" max="21" width="14.140625" bestFit="1" customWidth="1"/>
  </cols>
  <sheetData>
    <row r="1" spans="1:26" s="1" customFormat="1" ht="27" customHeight="1" x14ac:dyDescent="0.25">
      <c r="A1" s="207" t="s">
        <v>61</v>
      </c>
      <c r="B1" s="208"/>
      <c r="C1" s="208"/>
      <c r="D1" s="208"/>
      <c r="E1" s="208"/>
      <c r="F1" s="208"/>
      <c r="G1" s="208"/>
      <c r="H1" s="208"/>
      <c r="I1" s="208"/>
      <c r="J1" s="208"/>
      <c r="K1" s="208"/>
      <c r="L1" s="208"/>
      <c r="M1" s="208"/>
      <c r="N1" s="201" t="s">
        <v>71</v>
      </c>
      <c r="O1" s="202"/>
      <c r="P1" s="17" t="s">
        <v>72</v>
      </c>
      <c r="S1"/>
      <c r="T1"/>
    </row>
    <row r="2" spans="1:26" s="1" customFormat="1" ht="27" customHeight="1" x14ac:dyDescent="0.25">
      <c r="A2" s="209"/>
      <c r="B2" s="210"/>
      <c r="C2" s="210"/>
      <c r="D2" s="210"/>
      <c r="E2" s="210"/>
      <c r="F2" s="210"/>
      <c r="G2" s="210"/>
      <c r="H2" s="210"/>
      <c r="I2" s="210"/>
      <c r="J2" s="210"/>
      <c r="K2" s="210"/>
      <c r="L2" s="210"/>
      <c r="M2" s="210"/>
      <c r="N2" s="203" t="s">
        <v>73</v>
      </c>
      <c r="O2" s="204"/>
      <c r="P2" s="18">
        <v>39980</v>
      </c>
      <c r="S2"/>
      <c r="T2"/>
    </row>
    <row r="3" spans="1:26" s="1" customFormat="1" ht="27" customHeight="1" thickBot="1" x14ac:dyDescent="0.3">
      <c r="A3" s="211" t="s">
        <v>62</v>
      </c>
      <c r="B3" s="212"/>
      <c r="C3" s="212"/>
      <c r="D3" s="212"/>
      <c r="E3" s="212"/>
      <c r="F3" s="212"/>
      <c r="G3" s="212"/>
      <c r="H3" s="212"/>
      <c r="I3" s="212"/>
      <c r="J3" s="212"/>
      <c r="K3" s="212"/>
      <c r="L3" s="212"/>
      <c r="M3" s="212"/>
      <c r="N3" s="205" t="s">
        <v>74</v>
      </c>
      <c r="O3" s="206"/>
      <c r="P3" s="65">
        <v>3</v>
      </c>
      <c r="S3"/>
      <c r="T3"/>
    </row>
    <row r="4" spans="1:26" s="1" customFormat="1" ht="15.75" x14ac:dyDescent="0.25">
      <c r="A4" s="7"/>
      <c r="B4" s="64"/>
      <c r="C4" s="48"/>
      <c r="D4" s="48"/>
      <c r="E4" s="48"/>
      <c r="F4" s="48"/>
      <c r="G4" s="48"/>
      <c r="H4" s="48"/>
      <c r="I4" s="48"/>
      <c r="J4" s="48"/>
      <c r="K4" s="48"/>
      <c r="L4" s="48"/>
      <c r="M4" s="48"/>
      <c r="N4" s="50"/>
      <c r="O4" s="50"/>
      <c r="P4" s="8"/>
      <c r="S4"/>
      <c r="T4"/>
    </row>
    <row r="5" spans="1:26" s="1" customFormat="1" ht="15.75" x14ac:dyDescent="0.25">
      <c r="A5" s="7" t="s">
        <v>63</v>
      </c>
      <c r="B5" s="48"/>
      <c r="C5" s="63" t="s">
        <v>70</v>
      </c>
      <c r="D5" s="63"/>
      <c r="E5" s="63"/>
      <c r="F5" s="63"/>
      <c r="G5" s="63"/>
      <c r="H5" s="63"/>
      <c r="I5" s="63"/>
      <c r="J5" s="63"/>
      <c r="K5" s="63"/>
      <c r="L5" s="63"/>
      <c r="M5" s="63"/>
      <c r="N5" s="49"/>
      <c r="O5" s="49"/>
      <c r="P5" s="5"/>
      <c r="R5" s="4"/>
      <c r="S5"/>
      <c r="T5"/>
      <c r="U5" s="4"/>
      <c r="V5" s="4"/>
      <c r="W5" s="4"/>
      <c r="X5" s="6"/>
      <c r="Y5" s="6"/>
      <c r="Z5" s="3"/>
    </row>
    <row r="6" spans="1:26" s="1" customFormat="1" ht="15.75" x14ac:dyDescent="0.25">
      <c r="A6" s="7"/>
      <c r="B6" s="48"/>
      <c r="C6" s="48"/>
      <c r="D6" s="48"/>
      <c r="E6" s="48"/>
      <c r="F6" s="48"/>
      <c r="G6" s="48"/>
      <c r="H6" s="48"/>
      <c r="I6" s="48"/>
      <c r="J6" s="48"/>
      <c r="K6" s="48"/>
      <c r="L6" s="48"/>
      <c r="M6" s="48"/>
      <c r="N6" s="50"/>
      <c r="O6" s="50"/>
      <c r="P6" s="8"/>
      <c r="R6" s="6"/>
      <c r="S6"/>
      <c r="T6"/>
      <c r="U6" s="6"/>
      <c r="V6" s="6"/>
      <c r="W6" s="6"/>
      <c r="X6" s="6"/>
      <c r="Y6" s="6"/>
      <c r="Z6" s="6"/>
    </row>
    <row r="7" spans="1:26" s="1" customFormat="1" ht="15.75" x14ac:dyDescent="0.25">
      <c r="A7" s="2" t="s">
        <v>64</v>
      </c>
      <c r="B7" s="51"/>
      <c r="C7" s="200" t="s">
        <v>55</v>
      </c>
      <c r="D7" s="200"/>
      <c r="E7" s="200"/>
      <c r="F7" s="200"/>
      <c r="G7" s="200"/>
      <c r="H7" s="200"/>
      <c r="I7" s="200"/>
      <c r="J7" s="200"/>
      <c r="K7" s="200"/>
      <c r="L7" s="200"/>
      <c r="M7" s="200"/>
      <c r="N7" s="200"/>
      <c r="O7" s="200"/>
      <c r="P7" s="14"/>
      <c r="R7" s="6"/>
      <c r="S7"/>
      <c r="T7"/>
      <c r="U7" s="6"/>
      <c r="V7" s="6"/>
      <c r="W7" s="6"/>
      <c r="X7" s="6"/>
      <c r="Y7" s="6"/>
    </row>
    <row r="8" spans="1:26" s="1" customFormat="1" ht="16.5" thickBot="1" x14ac:dyDescent="0.3">
      <c r="A8" s="7"/>
      <c r="B8" s="48"/>
      <c r="C8" s="48"/>
      <c r="D8" s="48"/>
      <c r="E8" s="48"/>
      <c r="F8" s="48"/>
      <c r="G8" s="48"/>
      <c r="H8" s="48"/>
      <c r="I8" s="48"/>
      <c r="J8" s="48"/>
      <c r="K8" s="48"/>
      <c r="L8" s="48"/>
      <c r="M8" s="48"/>
      <c r="N8" s="15"/>
      <c r="O8" s="15"/>
      <c r="P8" s="9"/>
      <c r="R8" s="6"/>
      <c r="S8"/>
      <c r="T8"/>
      <c r="U8" s="6"/>
      <c r="V8" s="6"/>
      <c r="W8" s="6"/>
      <c r="X8" s="6"/>
      <c r="Y8" s="6"/>
      <c r="Z8" s="10"/>
    </row>
    <row r="9" spans="1:26" s="1" customFormat="1" ht="15.75" x14ac:dyDescent="0.25">
      <c r="A9" s="7" t="s">
        <v>65</v>
      </c>
      <c r="B9" s="48"/>
      <c r="C9" s="199">
        <v>43958</v>
      </c>
      <c r="D9" s="199"/>
      <c r="E9" s="199"/>
      <c r="F9" s="199"/>
      <c r="G9" s="199"/>
      <c r="H9" s="199"/>
      <c r="I9" s="47"/>
      <c r="J9" s="47"/>
      <c r="K9" s="47"/>
      <c r="L9" s="189" t="s">
        <v>67</v>
      </c>
      <c r="M9" s="190"/>
      <c r="N9" s="190"/>
      <c r="O9" s="191"/>
      <c r="P9" s="52"/>
      <c r="R9" s="6"/>
      <c r="S9"/>
      <c r="T9"/>
      <c r="U9" s="6"/>
      <c r="V9" s="6"/>
      <c r="W9" s="6"/>
      <c r="X9" s="6"/>
      <c r="Y9" s="6"/>
      <c r="Z9" s="11"/>
    </row>
    <row r="10" spans="1:26" s="1" customFormat="1" ht="15.75" x14ac:dyDescent="0.25">
      <c r="A10" s="7"/>
      <c r="B10" s="48"/>
      <c r="C10" s="53"/>
      <c r="D10" s="53"/>
      <c r="E10" s="53"/>
      <c r="F10" s="53"/>
      <c r="G10" s="53"/>
      <c r="H10" s="53"/>
      <c r="I10" s="47"/>
      <c r="J10" s="47"/>
      <c r="K10" s="47"/>
      <c r="L10" s="192"/>
      <c r="M10" s="193"/>
      <c r="N10" s="193"/>
      <c r="O10" s="194"/>
      <c r="P10" s="52"/>
      <c r="R10" s="6"/>
      <c r="S10"/>
      <c r="T10"/>
      <c r="U10" s="6"/>
      <c r="V10" s="6"/>
      <c r="W10" s="6"/>
      <c r="X10" s="6"/>
      <c r="Y10" s="6"/>
      <c r="Z10" s="11"/>
    </row>
    <row r="11" spans="1:26" s="1" customFormat="1" ht="16.5" thickBot="1" x14ac:dyDescent="0.3">
      <c r="A11" s="2" t="s">
        <v>68</v>
      </c>
      <c r="B11" s="51"/>
      <c r="C11" s="198" t="s">
        <v>69</v>
      </c>
      <c r="D11" s="198"/>
      <c r="E11" s="198"/>
      <c r="F11" s="198"/>
      <c r="G11" s="198"/>
      <c r="H11" s="198"/>
      <c r="I11" s="16"/>
      <c r="J11" s="16"/>
      <c r="K11" s="16"/>
      <c r="L11" s="195"/>
      <c r="M11" s="196"/>
      <c r="N11" s="196"/>
      <c r="O11" s="197"/>
      <c r="P11" s="52"/>
      <c r="R11" s="6"/>
      <c r="S11"/>
      <c r="T11"/>
      <c r="U11" s="6"/>
      <c r="V11" s="6"/>
      <c r="W11" s="6"/>
      <c r="X11" s="6"/>
      <c r="Y11" s="6"/>
      <c r="Z11" s="11"/>
    </row>
    <row r="12" spans="1:26" s="13" customFormat="1" x14ac:dyDescent="0.25">
      <c r="A12" s="12"/>
      <c r="B12" s="54"/>
      <c r="C12" s="54"/>
      <c r="D12" s="54"/>
      <c r="E12" s="54"/>
      <c r="F12" s="54"/>
      <c r="G12" s="54"/>
      <c r="H12" s="54"/>
      <c r="I12" s="54"/>
      <c r="J12" s="54"/>
      <c r="K12" s="54"/>
      <c r="L12" s="54"/>
      <c r="M12" s="54"/>
      <c r="N12" s="54"/>
      <c r="O12" s="54"/>
      <c r="P12" s="52"/>
      <c r="S12"/>
      <c r="T12"/>
    </row>
    <row r="13" spans="1:26" x14ac:dyDescent="0.25">
      <c r="A13" s="55"/>
      <c r="B13" s="47"/>
      <c r="C13" s="47"/>
      <c r="D13" s="47"/>
      <c r="E13" s="47"/>
      <c r="F13" s="47"/>
      <c r="G13" s="47"/>
      <c r="H13" s="47"/>
      <c r="I13" s="47"/>
      <c r="J13" s="47"/>
      <c r="K13" s="47"/>
      <c r="L13" s="47"/>
      <c r="M13" s="47"/>
      <c r="N13" s="47"/>
      <c r="O13" s="47"/>
      <c r="P13" s="52"/>
      <c r="Q13" s="47"/>
      <c r="R13" s="47"/>
    </row>
    <row r="14" spans="1:26" s="67" customFormat="1" ht="15.75" x14ac:dyDescent="0.25">
      <c r="A14" s="213" t="s">
        <v>54</v>
      </c>
      <c r="B14" s="214"/>
      <c r="C14" s="214"/>
      <c r="D14" s="214"/>
      <c r="E14" s="214"/>
      <c r="F14" s="214"/>
      <c r="G14" s="214"/>
      <c r="H14" s="214"/>
      <c r="I14" s="214"/>
      <c r="J14" s="214"/>
      <c r="K14" s="214"/>
      <c r="L14" s="214"/>
      <c r="M14" s="214"/>
      <c r="N14" s="214"/>
      <c r="O14" s="214"/>
      <c r="P14" s="215"/>
      <c r="Q14" s="66"/>
      <c r="R14" s="66"/>
    </row>
    <row r="15" spans="1:26" s="67" customFormat="1" ht="15.75" x14ac:dyDescent="0.25">
      <c r="A15" s="68"/>
      <c r="B15" s="66"/>
      <c r="C15" s="66"/>
      <c r="D15" s="66"/>
      <c r="E15" s="66"/>
      <c r="F15" s="66"/>
      <c r="G15" s="66"/>
      <c r="H15" s="66"/>
      <c r="I15" s="66"/>
      <c r="J15" s="66"/>
      <c r="K15" s="66"/>
      <c r="L15" s="66"/>
      <c r="M15" s="66"/>
      <c r="N15" s="66"/>
      <c r="O15" s="66"/>
      <c r="P15" s="69"/>
      <c r="Q15" s="66"/>
      <c r="R15" s="66"/>
    </row>
    <row r="16" spans="1:26" s="67" customFormat="1" ht="15.75" x14ac:dyDescent="0.25">
      <c r="A16" s="68"/>
      <c r="B16" s="66"/>
      <c r="C16" s="66"/>
      <c r="D16" s="66"/>
      <c r="E16" s="183" t="s">
        <v>75</v>
      </c>
      <c r="F16" s="184"/>
      <c r="G16" s="183" t="s">
        <v>76</v>
      </c>
      <c r="H16" s="184"/>
      <c r="I16" s="183" t="s">
        <v>77</v>
      </c>
      <c r="J16" s="184"/>
      <c r="K16" s="183" t="s">
        <v>78</v>
      </c>
      <c r="L16" s="184"/>
      <c r="M16" s="183" t="s">
        <v>79</v>
      </c>
      <c r="N16" s="184"/>
      <c r="O16" s="183" t="s">
        <v>80</v>
      </c>
      <c r="P16" s="185"/>
      <c r="Q16" s="66"/>
      <c r="R16" s="66"/>
    </row>
    <row r="17" spans="1:21" s="67" customFormat="1" ht="31.5" x14ac:dyDescent="0.25">
      <c r="A17" s="70" t="s">
        <v>0</v>
      </c>
      <c r="B17" s="71" t="s">
        <v>1</v>
      </c>
      <c r="C17" s="71" t="s">
        <v>2</v>
      </c>
      <c r="D17" s="72" t="s">
        <v>3</v>
      </c>
      <c r="E17" s="71" t="s">
        <v>4</v>
      </c>
      <c r="F17" s="71" t="s">
        <v>5</v>
      </c>
      <c r="G17" s="71" t="s">
        <v>4</v>
      </c>
      <c r="H17" s="71" t="s">
        <v>5</v>
      </c>
      <c r="I17" s="71" t="s">
        <v>4</v>
      </c>
      <c r="J17" s="71" t="s">
        <v>5</v>
      </c>
      <c r="K17" s="71" t="s">
        <v>4</v>
      </c>
      <c r="L17" s="71" t="s">
        <v>5</v>
      </c>
      <c r="M17" s="71" t="s">
        <v>4</v>
      </c>
      <c r="N17" s="71" t="s">
        <v>5</v>
      </c>
      <c r="O17" s="71" t="s">
        <v>4</v>
      </c>
      <c r="P17" s="73" t="s">
        <v>5</v>
      </c>
      <c r="Q17" s="66"/>
      <c r="R17" s="125" t="s">
        <v>103</v>
      </c>
      <c r="S17" s="126" t="s">
        <v>104</v>
      </c>
      <c r="T17" s="126" t="s">
        <v>105</v>
      </c>
      <c r="U17" s="126" t="s">
        <v>106</v>
      </c>
    </row>
    <row r="18" spans="1:21" s="67" customFormat="1" ht="15.75" x14ac:dyDescent="0.25">
      <c r="A18" s="74">
        <v>1</v>
      </c>
      <c r="B18" s="75" t="s">
        <v>6</v>
      </c>
      <c r="C18" s="76" t="s">
        <v>7</v>
      </c>
      <c r="D18" s="76">
        <v>1</v>
      </c>
      <c r="E18" s="110">
        <v>35280000</v>
      </c>
      <c r="F18" s="111">
        <f>+$D$18*E18</f>
        <v>35280000</v>
      </c>
      <c r="G18" s="110">
        <v>55000000</v>
      </c>
      <c r="H18" s="111">
        <f>+$D$18*G18</f>
        <v>55000000</v>
      </c>
      <c r="I18" s="110">
        <v>70318380</v>
      </c>
      <c r="J18" s="111">
        <f>+$D$18*I18</f>
        <v>70318380</v>
      </c>
      <c r="K18" s="110">
        <v>47000000</v>
      </c>
      <c r="L18" s="111">
        <f>+$D$18*K18</f>
        <v>47000000</v>
      </c>
      <c r="M18" s="110" t="s">
        <v>102</v>
      </c>
      <c r="N18" s="111"/>
      <c r="O18" s="110">
        <f>+ROUND(AVERAGE(G18,K18),0)</f>
        <v>51000000</v>
      </c>
      <c r="P18" s="111">
        <f>+$D$18*O18</f>
        <v>51000000</v>
      </c>
      <c r="Q18" s="66"/>
      <c r="R18" s="127">
        <f>+AVERAGE(E18,G18,I18,K18)</f>
        <v>51899595</v>
      </c>
      <c r="S18" s="128">
        <f>+STDEVA(E18,G18,I18,K18)</f>
        <v>14709193.510276716</v>
      </c>
      <c r="T18" s="129">
        <f>+R18-S18</f>
        <v>37190401.48972328</v>
      </c>
      <c r="U18" s="129">
        <f>+R18+S18</f>
        <v>66608788.51027672</v>
      </c>
    </row>
    <row r="19" spans="1:21" s="67" customFormat="1" ht="31.5" x14ac:dyDescent="0.25">
      <c r="A19" s="78"/>
      <c r="B19" s="79" t="s">
        <v>8</v>
      </c>
      <c r="C19" s="80"/>
      <c r="D19" s="80"/>
      <c r="E19" s="112"/>
      <c r="F19" s="114">
        <f>+SUM(F18)</f>
        <v>35280000</v>
      </c>
      <c r="G19" s="112"/>
      <c r="H19" s="114">
        <f>+SUM(H18)</f>
        <v>55000000</v>
      </c>
      <c r="I19" s="112"/>
      <c r="J19" s="114">
        <f>+SUM(J18)</f>
        <v>70318380</v>
      </c>
      <c r="K19" s="112"/>
      <c r="L19" s="114">
        <f>+SUM(L18)</f>
        <v>47000000</v>
      </c>
      <c r="M19" s="112"/>
      <c r="N19" s="114"/>
      <c r="O19" s="113"/>
      <c r="P19" s="114">
        <f>+SUM(P18)</f>
        <v>51000000</v>
      </c>
      <c r="Q19" s="66"/>
      <c r="R19" s="66"/>
    </row>
    <row r="20" spans="1:21" s="67" customFormat="1" ht="15.75" x14ac:dyDescent="0.25">
      <c r="A20" s="78"/>
      <c r="B20" s="79" t="s">
        <v>9</v>
      </c>
      <c r="C20" s="80"/>
      <c r="D20" s="80"/>
      <c r="E20" s="112"/>
      <c r="F20" s="114">
        <f>+ROUND(F19*19%,0)</f>
        <v>6703200</v>
      </c>
      <c r="G20" s="112"/>
      <c r="H20" s="114">
        <f>+ROUND(H19*19%,0)</f>
        <v>10450000</v>
      </c>
      <c r="I20" s="112"/>
      <c r="J20" s="114">
        <f>+ROUND(J19*19%,0)</f>
        <v>13360492</v>
      </c>
      <c r="K20" s="112"/>
      <c r="L20" s="114">
        <f>+ROUND(L19*19%,0)</f>
        <v>8930000</v>
      </c>
      <c r="M20" s="112"/>
      <c r="N20" s="114"/>
      <c r="O20" s="113"/>
      <c r="P20" s="114">
        <f>+ROUND(P19*19%,0)</f>
        <v>9690000</v>
      </c>
      <c r="Q20" s="66"/>
      <c r="R20" s="66"/>
    </row>
    <row r="21" spans="1:21" s="67" customFormat="1" ht="15.75" x14ac:dyDescent="0.25">
      <c r="A21" s="70" t="s">
        <v>10</v>
      </c>
      <c r="B21" s="72" t="s">
        <v>11</v>
      </c>
      <c r="C21" s="71"/>
      <c r="D21" s="71"/>
      <c r="E21" s="115"/>
      <c r="F21" s="117">
        <f>+F19+F20</f>
        <v>41983200</v>
      </c>
      <c r="G21" s="115"/>
      <c r="H21" s="117">
        <f>+H19+H20</f>
        <v>65450000</v>
      </c>
      <c r="I21" s="115"/>
      <c r="J21" s="117">
        <f>+J19+J20</f>
        <v>83678872</v>
      </c>
      <c r="K21" s="115"/>
      <c r="L21" s="117">
        <f>+L19+L20</f>
        <v>55930000</v>
      </c>
      <c r="M21" s="115"/>
      <c r="N21" s="117"/>
      <c r="O21" s="116"/>
      <c r="P21" s="117">
        <f>+P19+P20</f>
        <v>60690000</v>
      </c>
      <c r="Q21" s="66"/>
      <c r="R21" s="66"/>
    </row>
    <row r="22" spans="1:21" s="67" customFormat="1" ht="15.75" x14ac:dyDescent="0.25">
      <c r="A22" s="68"/>
      <c r="B22" s="66"/>
      <c r="C22" s="66"/>
      <c r="D22" s="66"/>
      <c r="E22" s="66"/>
      <c r="F22" s="66"/>
      <c r="G22" s="66"/>
      <c r="H22" s="66"/>
      <c r="I22" s="66"/>
      <c r="J22" s="66"/>
      <c r="K22" s="66"/>
      <c r="L22" s="66"/>
      <c r="M22" s="66"/>
      <c r="N22" s="66"/>
      <c r="O22" s="66"/>
      <c r="P22" s="69"/>
      <c r="Q22" s="66"/>
      <c r="R22" s="66"/>
    </row>
    <row r="23" spans="1:21" s="67" customFormat="1" ht="15.75" x14ac:dyDescent="0.25">
      <c r="A23" s="213" t="s">
        <v>12</v>
      </c>
      <c r="B23" s="214"/>
      <c r="C23" s="214"/>
      <c r="D23" s="214"/>
      <c r="E23" s="214"/>
      <c r="F23" s="214"/>
      <c r="G23" s="214"/>
      <c r="H23" s="214"/>
      <c r="I23" s="214"/>
      <c r="J23" s="214"/>
      <c r="K23" s="214"/>
      <c r="L23" s="214"/>
      <c r="M23" s="214"/>
      <c r="N23" s="214"/>
      <c r="O23" s="214"/>
      <c r="P23" s="215"/>
      <c r="Q23" s="66"/>
      <c r="R23" s="66"/>
    </row>
    <row r="24" spans="1:21" s="67" customFormat="1" ht="15.75" x14ac:dyDescent="0.25">
      <c r="A24" s="68"/>
      <c r="B24" s="66"/>
      <c r="C24" s="66"/>
      <c r="D24" s="66"/>
      <c r="E24" s="66"/>
      <c r="F24" s="66"/>
      <c r="G24" s="66"/>
      <c r="H24" s="66"/>
      <c r="I24" s="66"/>
      <c r="J24" s="66"/>
      <c r="K24" s="66"/>
      <c r="L24" s="66"/>
      <c r="M24" s="66"/>
      <c r="N24" s="66"/>
      <c r="O24" s="66"/>
      <c r="P24" s="69"/>
      <c r="Q24" s="66"/>
      <c r="R24" s="66"/>
    </row>
    <row r="25" spans="1:21" s="67" customFormat="1" ht="15.75" x14ac:dyDescent="0.25">
      <c r="A25" s="68"/>
      <c r="B25" s="66"/>
      <c r="C25" s="66"/>
      <c r="D25" s="66"/>
      <c r="E25" s="183" t="s">
        <v>75</v>
      </c>
      <c r="F25" s="184"/>
      <c r="G25" s="183" t="s">
        <v>76</v>
      </c>
      <c r="H25" s="184"/>
      <c r="I25" s="183" t="s">
        <v>77</v>
      </c>
      <c r="J25" s="184"/>
      <c r="K25" s="183" t="s">
        <v>78</v>
      </c>
      <c r="L25" s="184"/>
      <c r="M25" s="183" t="s">
        <v>79</v>
      </c>
      <c r="N25" s="184"/>
      <c r="O25" s="183" t="s">
        <v>80</v>
      </c>
      <c r="P25" s="185"/>
      <c r="Q25" s="66"/>
      <c r="R25" s="66"/>
    </row>
    <row r="26" spans="1:21" s="67" customFormat="1" ht="31.5" x14ac:dyDescent="0.25">
      <c r="A26" s="70" t="s">
        <v>13</v>
      </c>
      <c r="B26" s="71" t="s">
        <v>1</v>
      </c>
      <c r="C26" s="71" t="s">
        <v>2</v>
      </c>
      <c r="D26" s="71" t="s">
        <v>3</v>
      </c>
      <c r="E26" s="71" t="s">
        <v>4</v>
      </c>
      <c r="F26" s="71" t="s">
        <v>5</v>
      </c>
      <c r="G26" s="71" t="s">
        <v>4</v>
      </c>
      <c r="H26" s="71" t="s">
        <v>5</v>
      </c>
      <c r="I26" s="71" t="s">
        <v>4</v>
      </c>
      <c r="J26" s="71" t="s">
        <v>5</v>
      </c>
      <c r="K26" s="71" t="s">
        <v>4</v>
      </c>
      <c r="L26" s="71" t="s">
        <v>5</v>
      </c>
      <c r="M26" s="71" t="s">
        <v>4</v>
      </c>
      <c r="N26" s="71" t="s">
        <v>5</v>
      </c>
      <c r="O26" s="71" t="s">
        <v>4</v>
      </c>
      <c r="P26" s="73" t="s">
        <v>5</v>
      </c>
      <c r="Q26" s="66"/>
      <c r="R26" s="66"/>
    </row>
    <row r="27" spans="1:21" s="67" customFormat="1" ht="15.75" x14ac:dyDescent="0.25">
      <c r="A27" s="83">
        <v>1</v>
      </c>
      <c r="B27" s="84" t="s">
        <v>14</v>
      </c>
      <c r="C27" s="85" t="s">
        <v>15</v>
      </c>
      <c r="D27" s="86">
        <v>1848</v>
      </c>
      <c r="E27" s="110">
        <v>4900</v>
      </c>
      <c r="F27" s="77">
        <f>+ROUND(D27*E27,0)</f>
        <v>9055200</v>
      </c>
      <c r="G27" s="110">
        <v>3000</v>
      </c>
      <c r="H27" s="77">
        <f>+ROUND(D27*G27,0)</f>
        <v>5544000</v>
      </c>
      <c r="I27" s="110">
        <v>2910.46</v>
      </c>
      <c r="J27" s="77">
        <f>+ROUND(D27*I27,0)</f>
        <v>5378530</v>
      </c>
      <c r="K27" s="110">
        <v>6544</v>
      </c>
      <c r="L27" s="77">
        <f>+ROUND(D27*K27,0)</f>
        <v>12093312</v>
      </c>
      <c r="M27" s="110">
        <v>3037.5</v>
      </c>
      <c r="N27" s="77">
        <f>+ROUND(D27*M27,0)</f>
        <v>5613300</v>
      </c>
      <c r="O27" s="87">
        <f>+ROUND(AVERAGE(E27,G27,I27,M27),0)</f>
        <v>3462</v>
      </c>
      <c r="P27" s="77">
        <f>+ROUND(D27*O27,0)</f>
        <v>6397776</v>
      </c>
      <c r="Q27" s="66"/>
      <c r="R27" s="127">
        <f>+AVERAGE(E27,G27,I27,K27,M27)</f>
        <v>4078.3919999999998</v>
      </c>
      <c r="S27" s="128">
        <f>+STDEVA(E27,G27,I27,K27,M27)</f>
        <v>1609.713727132872</v>
      </c>
      <c r="T27" s="129">
        <f>+R27-S27</f>
        <v>2468.6782728671278</v>
      </c>
      <c r="U27" s="129">
        <f>+R27+S27</f>
        <v>5688.1057271328718</v>
      </c>
    </row>
    <row r="28" spans="1:21" s="67" customFormat="1" ht="15.75" x14ac:dyDescent="0.25">
      <c r="A28" s="83">
        <v>2</v>
      </c>
      <c r="B28" s="84" t="s">
        <v>16</v>
      </c>
      <c r="C28" s="85" t="s">
        <v>15</v>
      </c>
      <c r="D28" s="86">
        <v>352</v>
      </c>
      <c r="E28" s="110">
        <v>9100</v>
      </c>
      <c r="F28" s="77">
        <f>+ROUND(D28*E28,0)</f>
        <v>3203200</v>
      </c>
      <c r="G28" s="110">
        <v>10000</v>
      </c>
      <c r="H28" s="77">
        <f t="shared" ref="H28:H53" si="0">+ROUND(D28*G28,0)</f>
        <v>3520000</v>
      </c>
      <c r="I28" s="110">
        <v>7604.9</v>
      </c>
      <c r="J28" s="77">
        <f t="shared" ref="J28:J53" si="1">+ROUND(D28*I28,0)</f>
        <v>2676925</v>
      </c>
      <c r="K28" s="110">
        <v>10675</v>
      </c>
      <c r="L28" s="77">
        <f t="shared" ref="L28:L53" si="2">+ROUND(D28*K28,0)</f>
        <v>3757600</v>
      </c>
      <c r="M28" s="110">
        <v>6075</v>
      </c>
      <c r="N28" s="77">
        <f t="shared" ref="N28:N53" si="3">+ROUND(D28*M28,0)</f>
        <v>2138400</v>
      </c>
      <c r="O28" s="87">
        <f>+ROUND(AVERAGE(E28,G28,I28),0)</f>
        <v>8902</v>
      </c>
      <c r="P28" s="77">
        <f>+ROUND(D28*O28,0)</f>
        <v>3133504</v>
      </c>
      <c r="Q28" s="66"/>
      <c r="R28" s="127">
        <f t="shared" ref="R28:R61" si="4">+AVERAGE(E28,G28,I28,K28,M28)</f>
        <v>8690.98</v>
      </c>
      <c r="S28" s="128">
        <f t="shared" ref="S28:S61" si="5">+STDEVA(E28,G28,I28,K28,M28)</f>
        <v>1860.1133841784986</v>
      </c>
      <c r="T28" s="129">
        <f t="shared" ref="T28:T61" si="6">+R28-S28</f>
        <v>6830.866615821501</v>
      </c>
      <c r="U28" s="129">
        <f t="shared" ref="U28:U61" si="7">+R28+S28</f>
        <v>10551.093384178497</v>
      </c>
    </row>
    <row r="29" spans="1:21" s="67" customFormat="1" ht="15.75" x14ac:dyDescent="0.25">
      <c r="A29" s="83">
        <v>3</v>
      </c>
      <c r="B29" s="84" t="s">
        <v>17</v>
      </c>
      <c r="C29" s="85" t="s">
        <v>18</v>
      </c>
      <c r="D29" s="86">
        <v>102.4</v>
      </c>
      <c r="E29" s="110">
        <v>49000</v>
      </c>
      <c r="F29" s="77">
        <f t="shared" ref="F29:F53" si="8">+ROUND(D29*E29,0)</f>
        <v>5017600</v>
      </c>
      <c r="G29" s="110">
        <v>65000</v>
      </c>
      <c r="H29" s="77">
        <f t="shared" si="0"/>
        <v>6656000</v>
      </c>
      <c r="I29" s="110">
        <v>105893.26</v>
      </c>
      <c r="J29" s="77">
        <f t="shared" si="1"/>
        <v>10843470</v>
      </c>
      <c r="K29" s="110">
        <v>32000</v>
      </c>
      <c r="L29" s="77">
        <f t="shared" si="2"/>
        <v>3276800</v>
      </c>
      <c r="M29" s="110">
        <v>49950</v>
      </c>
      <c r="N29" s="77">
        <f t="shared" si="3"/>
        <v>5114880</v>
      </c>
      <c r="O29" s="87">
        <f>+ROUND(AVERAGE(E29,G29,M29),0)</f>
        <v>54650</v>
      </c>
      <c r="P29" s="77">
        <f>+ROUND(D29*O29,0)</f>
        <v>5596160</v>
      </c>
      <c r="Q29" s="66"/>
      <c r="R29" s="127">
        <f t="shared" si="4"/>
        <v>60368.652000000002</v>
      </c>
      <c r="S29" s="128">
        <f t="shared" si="5"/>
        <v>28002.295852046103</v>
      </c>
      <c r="T29" s="129">
        <f t="shared" si="6"/>
        <v>32366.356147953898</v>
      </c>
      <c r="U29" s="129">
        <f t="shared" si="7"/>
        <v>88370.947852046113</v>
      </c>
    </row>
    <row r="30" spans="1:21" s="67" customFormat="1" ht="15.75" x14ac:dyDescent="0.25">
      <c r="A30" s="83">
        <v>4</v>
      </c>
      <c r="B30" s="84" t="s">
        <v>19</v>
      </c>
      <c r="C30" s="85" t="s">
        <v>18</v>
      </c>
      <c r="D30" s="86">
        <v>42.72</v>
      </c>
      <c r="E30" s="110">
        <v>35840</v>
      </c>
      <c r="F30" s="77">
        <f t="shared" si="8"/>
        <v>1531085</v>
      </c>
      <c r="G30" s="110">
        <v>65000</v>
      </c>
      <c r="H30" s="77">
        <f t="shared" si="0"/>
        <v>2776800</v>
      </c>
      <c r="I30" s="110">
        <v>40405</v>
      </c>
      <c r="J30" s="77">
        <f t="shared" si="1"/>
        <v>1726102</v>
      </c>
      <c r="K30" s="110">
        <v>51815</v>
      </c>
      <c r="L30" s="77">
        <f t="shared" si="2"/>
        <v>2213537</v>
      </c>
      <c r="M30" s="110">
        <v>47250</v>
      </c>
      <c r="N30" s="77">
        <f t="shared" si="3"/>
        <v>2018520</v>
      </c>
      <c r="O30" s="87">
        <f>+ROUND(AVERAGE(I30,K30,M30),0)</f>
        <v>46490</v>
      </c>
      <c r="P30" s="77">
        <f>+ROUND(D30*O30,0)</f>
        <v>1986053</v>
      </c>
      <c r="Q30" s="66"/>
      <c r="R30" s="127">
        <f t="shared" si="4"/>
        <v>48062</v>
      </c>
      <c r="S30" s="128">
        <f t="shared" si="5"/>
        <v>11287.682778143617</v>
      </c>
      <c r="T30" s="129">
        <f t="shared" si="6"/>
        <v>36774.317221856385</v>
      </c>
      <c r="U30" s="129">
        <f t="shared" si="7"/>
        <v>59349.682778143615</v>
      </c>
    </row>
    <row r="31" spans="1:21" s="67" customFormat="1" ht="15.75" x14ac:dyDescent="0.25">
      <c r="A31" s="83">
        <v>5</v>
      </c>
      <c r="B31" s="84" t="s">
        <v>20</v>
      </c>
      <c r="C31" s="85" t="s">
        <v>18</v>
      </c>
      <c r="D31" s="86">
        <v>256</v>
      </c>
      <c r="E31" s="110">
        <v>91000</v>
      </c>
      <c r="F31" s="77">
        <f t="shared" si="8"/>
        <v>23296000</v>
      </c>
      <c r="G31" s="110">
        <v>60000</v>
      </c>
      <c r="H31" s="77">
        <f t="shared" si="0"/>
        <v>15360000</v>
      </c>
      <c r="I31" s="110">
        <v>61130.52</v>
      </c>
      <c r="J31" s="77">
        <f t="shared" si="1"/>
        <v>15649413</v>
      </c>
      <c r="K31" s="110">
        <v>174428</v>
      </c>
      <c r="L31" s="77">
        <f t="shared" si="2"/>
        <v>44653568</v>
      </c>
      <c r="M31" s="110">
        <v>121500</v>
      </c>
      <c r="N31" s="77">
        <f t="shared" si="3"/>
        <v>31104000</v>
      </c>
      <c r="O31" s="87">
        <f>+ROUND(AVERAGE(E31,G31,I31,M31),0)</f>
        <v>83408</v>
      </c>
      <c r="P31" s="77">
        <f t="shared" ref="P31:P53" si="9">+ROUND(D31*O31,0)</f>
        <v>21352448</v>
      </c>
      <c r="Q31" s="66"/>
      <c r="R31" s="127">
        <f t="shared" si="4"/>
        <v>101611.704</v>
      </c>
      <c r="S31" s="128">
        <f t="shared" si="5"/>
        <v>47907.790886640541</v>
      </c>
      <c r="T31" s="129">
        <f t="shared" si="6"/>
        <v>53703.913113359456</v>
      </c>
      <c r="U31" s="129">
        <f t="shared" si="7"/>
        <v>149519.49488664055</v>
      </c>
    </row>
    <row r="32" spans="1:21" s="67" customFormat="1" ht="31.5" x14ac:dyDescent="0.25">
      <c r="A32" s="83">
        <v>6</v>
      </c>
      <c r="B32" s="84" t="s">
        <v>21</v>
      </c>
      <c r="C32" s="85" t="s">
        <v>18</v>
      </c>
      <c r="D32" s="86">
        <v>450</v>
      </c>
      <c r="E32" s="110">
        <v>133000</v>
      </c>
      <c r="F32" s="77">
        <f t="shared" si="8"/>
        <v>59850000</v>
      </c>
      <c r="G32" s="110">
        <v>180000</v>
      </c>
      <c r="H32" s="77">
        <f t="shared" si="0"/>
        <v>81000000</v>
      </c>
      <c r="I32" s="110">
        <v>99274.66</v>
      </c>
      <c r="J32" s="77">
        <f t="shared" si="1"/>
        <v>44673597</v>
      </c>
      <c r="K32" s="110">
        <v>174428</v>
      </c>
      <c r="L32" s="77">
        <f t="shared" si="2"/>
        <v>78492600</v>
      </c>
      <c r="M32" s="110">
        <v>136500</v>
      </c>
      <c r="N32" s="77">
        <f t="shared" si="3"/>
        <v>61425000</v>
      </c>
      <c r="O32" s="87">
        <f>+ROUND(AVERAGE(E32,K32,M32),0)</f>
        <v>147976</v>
      </c>
      <c r="P32" s="77">
        <f>+ROUND(D32*O32,0)</f>
        <v>66589200</v>
      </c>
      <c r="Q32" s="66"/>
      <c r="R32" s="127">
        <f t="shared" si="4"/>
        <v>144640.53200000001</v>
      </c>
      <c r="S32" s="128">
        <f t="shared" si="5"/>
        <v>33156.514502811064</v>
      </c>
      <c r="T32" s="129">
        <f t="shared" si="6"/>
        <v>111484.01749718894</v>
      </c>
      <c r="U32" s="129">
        <f t="shared" si="7"/>
        <v>177797.04650281108</v>
      </c>
    </row>
    <row r="33" spans="1:21" s="67" customFormat="1" ht="15.75" x14ac:dyDescent="0.25">
      <c r="A33" s="83">
        <v>7</v>
      </c>
      <c r="B33" s="84" t="s">
        <v>22</v>
      </c>
      <c r="C33" s="85" t="s">
        <v>15</v>
      </c>
      <c r="D33" s="86">
        <v>1800</v>
      </c>
      <c r="E33" s="110">
        <v>63840</v>
      </c>
      <c r="F33" s="77">
        <f t="shared" si="8"/>
        <v>114912000</v>
      </c>
      <c r="G33" s="110">
        <v>20000</v>
      </c>
      <c r="H33" s="77">
        <f t="shared" si="0"/>
        <v>36000000</v>
      </c>
      <c r="I33" s="110">
        <v>24139</v>
      </c>
      <c r="J33" s="77">
        <f t="shared" si="1"/>
        <v>43450200</v>
      </c>
      <c r="K33" s="110">
        <v>15500</v>
      </c>
      <c r="L33" s="77">
        <f t="shared" si="2"/>
        <v>27900000</v>
      </c>
      <c r="M33" s="110">
        <v>8100</v>
      </c>
      <c r="N33" s="77">
        <f t="shared" si="3"/>
        <v>14580000</v>
      </c>
      <c r="O33" s="87">
        <f>+ROUND(AVERAGE(G33,I33,K33,M33),0)</f>
        <v>16935</v>
      </c>
      <c r="P33" s="77">
        <f t="shared" si="9"/>
        <v>30483000</v>
      </c>
      <c r="Q33" s="66"/>
      <c r="R33" s="127">
        <f t="shared" si="4"/>
        <v>26315.8</v>
      </c>
      <c r="S33" s="128">
        <f t="shared" si="5"/>
        <v>21803.040343034732</v>
      </c>
      <c r="T33" s="129">
        <f t="shared" si="6"/>
        <v>4512.7596569652669</v>
      </c>
      <c r="U33" s="129">
        <f t="shared" si="7"/>
        <v>48118.840343034732</v>
      </c>
    </row>
    <row r="34" spans="1:21" s="67" customFormat="1" ht="31.5" x14ac:dyDescent="0.25">
      <c r="A34" s="83">
        <v>8</v>
      </c>
      <c r="B34" s="84" t="s">
        <v>23</v>
      </c>
      <c r="C34" s="85" t="s">
        <v>15</v>
      </c>
      <c r="D34" s="86">
        <v>1500</v>
      </c>
      <c r="E34" s="110">
        <v>53200</v>
      </c>
      <c r="F34" s="77">
        <f t="shared" si="8"/>
        <v>79800000</v>
      </c>
      <c r="G34" s="110">
        <v>20000</v>
      </c>
      <c r="H34" s="77">
        <f t="shared" si="0"/>
        <v>30000000</v>
      </c>
      <c r="I34" s="110">
        <v>5334</v>
      </c>
      <c r="J34" s="77">
        <f t="shared" si="1"/>
        <v>8001000</v>
      </c>
      <c r="K34" s="110">
        <v>15000</v>
      </c>
      <c r="L34" s="77">
        <f t="shared" si="2"/>
        <v>22500000</v>
      </c>
      <c r="M34" s="110">
        <v>2025</v>
      </c>
      <c r="N34" s="121">
        <f t="shared" si="3"/>
        <v>3037500</v>
      </c>
      <c r="O34" s="87">
        <f>+ROUND(AVERAGE(G34,I34,K34,M34),0)</f>
        <v>10590</v>
      </c>
      <c r="P34" s="77">
        <f t="shared" si="9"/>
        <v>15885000</v>
      </c>
      <c r="Q34" s="66"/>
      <c r="R34" s="127">
        <f t="shared" si="4"/>
        <v>19111.8</v>
      </c>
      <c r="S34" s="128">
        <f t="shared" si="5"/>
        <v>20380.675189993093</v>
      </c>
      <c r="T34" s="129">
        <f t="shared" si="6"/>
        <v>-1268.875189993094</v>
      </c>
      <c r="U34" s="129">
        <f t="shared" si="7"/>
        <v>39492.475189993092</v>
      </c>
    </row>
    <row r="35" spans="1:21" s="67" customFormat="1" ht="15.75" x14ac:dyDescent="0.25">
      <c r="A35" s="83">
        <v>9</v>
      </c>
      <c r="B35" s="84" t="s">
        <v>24</v>
      </c>
      <c r="C35" s="85" t="s">
        <v>25</v>
      </c>
      <c r="D35" s="86">
        <v>155</v>
      </c>
      <c r="E35" s="110">
        <v>39900</v>
      </c>
      <c r="F35" s="77">
        <f t="shared" si="8"/>
        <v>6184500</v>
      </c>
      <c r="G35" s="110">
        <v>60000</v>
      </c>
      <c r="H35" s="77">
        <f t="shared" si="0"/>
        <v>9300000</v>
      </c>
      <c r="I35" s="110">
        <v>69786.94</v>
      </c>
      <c r="J35" s="77">
        <f t="shared" si="1"/>
        <v>10816976</v>
      </c>
      <c r="K35" s="110">
        <v>59000</v>
      </c>
      <c r="L35" s="77">
        <f t="shared" si="2"/>
        <v>9145000</v>
      </c>
      <c r="M35" s="110">
        <v>20250</v>
      </c>
      <c r="N35" s="77">
        <f t="shared" si="3"/>
        <v>3138750</v>
      </c>
      <c r="O35" s="87">
        <f>+ROUND(AVERAGE(E35,G35,K35),0)</f>
        <v>52967</v>
      </c>
      <c r="P35" s="77">
        <f t="shared" si="9"/>
        <v>8209885</v>
      </c>
      <c r="Q35" s="66"/>
      <c r="R35" s="127">
        <f t="shared" si="4"/>
        <v>49787.387999999999</v>
      </c>
      <c r="S35" s="128">
        <f t="shared" si="5"/>
        <v>19744.426272057648</v>
      </c>
      <c r="T35" s="129">
        <f t="shared" si="6"/>
        <v>30042.961727942351</v>
      </c>
      <c r="U35" s="129">
        <f t="shared" si="7"/>
        <v>69531.814272057643</v>
      </c>
    </row>
    <row r="36" spans="1:21" s="67" customFormat="1" ht="15.75" x14ac:dyDescent="0.25">
      <c r="A36" s="83">
        <v>10</v>
      </c>
      <c r="B36" s="84" t="s">
        <v>26</v>
      </c>
      <c r="C36" s="85" t="s">
        <v>25</v>
      </c>
      <c r="D36" s="86">
        <v>204</v>
      </c>
      <c r="E36" s="110">
        <v>31500</v>
      </c>
      <c r="F36" s="77">
        <f t="shared" si="8"/>
        <v>6426000</v>
      </c>
      <c r="G36" s="110">
        <v>40000</v>
      </c>
      <c r="H36" s="77">
        <f t="shared" si="0"/>
        <v>8160000</v>
      </c>
      <c r="I36" s="110">
        <v>17631.97</v>
      </c>
      <c r="J36" s="77">
        <f t="shared" si="1"/>
        <v>3596922</v>
      </c>
      <c r="K36" s="110">
        <v>45000</v>
      </c>
      <c r="L36" s="77">
        <f t="shared" si="2"/>
        <v>9180000</v>
      </c>
      <c r="M36" s="110">
        <v>12150</v>
      </c>
      <c r="N36" s="77">
        <f t="shared" si="3"/>
        <v>2478600</v>
      </c>
      <c r="O36" s="87">
        <f>+ROUND(AVERAGE(E36,G36,I36),0)</f>
        <v>29711</v>
      </c>
      <c r="P36" s="77">
        <f t="shared" si="9"/>
        <v>6061044</v>
      </c>
      <c r="Q36" s="66"/>
      <c r="R36" s="127">
        <f t="shared" si="4"/>
        <v>29256.394</v>
      </c>
      <c r="S36" s="128">
        <f t="shared" si="5"/>
        <v>14107.40866233696</v>
      </c>
      <c r="T36" s="129">
        <f t="shared" si="6"/>
        <v>15148.98533766304</v>
      </c>
      <c r="U36" s="129">
        <f t="shared" si="7"/>
        <v>43363.802662336959</v>
      </c>
    </row>
    <row r="37" spans="1:21" s="67" customFormat="1" ht="15.75" x14ac:dyDescent="0.25">
      <c r="A37" s="83">
        <v>11</v>
      </c>
      <c r="B37" s="84" t="s">
        <v>27</v>
      </c>
      <c r="C37" s="85" t="s">
        <v>15</v>
      </c>
      <c r="D37" s="86">
        <v>1848</v>
      </c>
      <c r="E37" s="110">
        <v>37240</v>
      </c>
      <c r="F37" s="77">
        <f t="shared" si="8"/>
        <v>68819520</v>
      </c>
      <c r="G37" s="110">
        <v>20000</v>
      </c>
      <c r="H37" s="77">
        <f t="shared" si="0"/>
        <v>36960000</v>
      </c>
      <c r="I37" s="110">
        <v>24139</v>
      </c>
      <c r="J37" s="77">
        <f t="shared" si="1"/>
        <v>44608872</v>
      </c>
      <c r="K37" s="110">
        <v>15000</v>
      </c>
      <c r="L37" s="77">
        <f t="shared" si="2"/>
        <v>27720000</v>
      </c>
      <c r="M37" s="110">
        <v>8100</v>
      </c>
      <c r="N37" s="77">
        <f t="shared" si="3"/>
        <v>14968800</v>
      </c>
      <c r="O37" s="87">
        <f>+ROUND(AVERAGE(G37,I37,K37),0)</f>
        <v>19713</v>
      </c>
      <c r="P37" s="77">
        <f t="shared" si="9"/>
        <v>36429624</v>
      </c>
      <c r="Q37" s="66"/>
      <c r="R37" s="127">
        <f t="shared" si="4"/>
        <v>20895.8</v>
      </c>
      <c r="S37" s="128">
        <f t="shared" si="5"/>
        <v>10919.553937776032</v>
      </c>
      <c r="T37" s="129">
        <f t="shared" si="6"/>
        <v>9976.2460622239669</v>
      </c>
      <c r="U37" s="129">
        <f t="shared" si="7"/>
        <v>31815.353937776032</v>
      </c>
    </row>
    <row r="38" spans="1:21" s="67" customFormat="1" ht="15.75" x14ac:dyDescent="0.25">
      <c r="A38" s="83">
        <v>12</v>
      </c>
      <c r="B38" s="84" t="s">
        <v>28</v>
      </c>
      <c r="C38" s="85" t="s">
        <v>25</v>
      </c>
      <c r="D38" s="86">
        <v>180</v>
      </c>
      <c r="E38" s="110">
        <v>78277.5</v>
      </c>
      <c r="F38" s="77">
        <f t="shared" si="8"/>
        <v>14089950</v>
      </c>
      <c r="G38" s="110">
        <v>100000</v>
      </c>
      <c r="H38" s="77">
        <f t="shared" si="0"/>
        <v>18000000</v>
      </c>
      <c r="I38" s="110">
        <v>143201.64000000001</v>
      </c>
      <c r="J38" s="77">
        <f t="shared" si="1"/>
        <v>25776295</v>
      </c>
      <c r="K38" s="110">
        <v>115000</v>
      </c>
      <c r="L38" s="77">
        <f t="shared" si="2"/>
        <v>20700000</v>
      </c>
      <c r="M38" s="110">
        <v>86400</v>
      </c>
      <c r="N38" s="77">
        <f t="shared" si="3"/>
        <v>15552000</v>
      </c>
      <c r="O38" s="87">
        <f>+ROUND(AVERAGE(G38,K38,M38),0)</f>
        <v>100467</v>
      </c>
      <c r="P38" s="77">
        <f t="shared" si="9"/>
        <v>18084060</v>
      </c>
      <c r="Q38" s="66"/>
      <c r="R38" s="127">
        <f t="shared" si="4"/>
        <v>104575.82800000001</v>
      </c>
      <c r="S38" s="128">
        <f t="shared" si="5"/>
        <v>25707.575223616874</v>
      </c>
      <c r="T38" s="129">
        <f t="shared" si="6"/>
        <v>78868.252776383131</v>
      </c>
      <c r="U38" s="129">
        <f t="shared" si="7"/>
        <v>130283.40322361689</v>
      </c>
    </row>
    <row r="39" spans="1:21" s="67" customFormat="1" ht="47.25" x14ac:dyDescent="0.25">
      <c r="A39" s="83">
        <v>13</v>
      </c>
      <c r="B39" s="84" t="s">
        <v>29</v>
      </c>
      <c r="C39" s="85" t="s">
        <v>15</v>
      </c>
      <c r="D39" s="86">
        <v>1848</v>
      </c>
      <c r="E39" s="110">
        <v>79800</v>
      </c>
      <c r="F39" s="122">
        <f t="shared" si="8"/>
        <v>147470400</v>
      </c>
      <c r="G39" s="110">
        <v>200000</v>
      </c>
      <c r="H39" s="77">
        <f t="shared" si="0"/>
        <v>369600000</v>
      </c>
      <c r="I39" s="110">
        <v>135989</v>
      </c>
      <c r="J39" s="77">
        <f t="shared" si="1"/>
        <v>251307672</v>
      </c>
      <c r="K39" s="110">
        <v>332230</v>
      </c>
      <c r="L39" s="77">
        <f t="shared" si="2"/>
        <v>613961040</v>
      </c>
      <c r="M39" s="110">
        <v>100740</v>
      </c>
      <c r="N39" s="77">
        <f t="shared" si="3"/>
        <v>186167520</v>
      </c>
      <c r="O39" s="87">
        <f>+ROUND(AVERAGE(E39,G39,I39,M39),0)</f>
        <v>129132</v>
      </c>
      <c r="P39" s="77">
        <f t="shared" si="9"/>
        <v>238635936</v>
      </c>
      <c r="Q39" s="66"/>
      <c r="R39" s="127">
        <f t="shared" si="4"/>
        <v>169751.8</v>
      </c>
      <c r="S39" s="128">
        <f t="shared" si="5"/>
        <v>101621.84878853562</v>
      </c>
      <c r="T39" s="129">
        <f t="shared" si="6"/>
        <v>68129.951211464373</v>
      </c>
      <c r="U39" s="129">
        <f t="shared" si="7"/>
        <v>271373.64878853562</v>
      </c>
    </row>
    <row r="40" spans="1:21" s="67" customFormat="1" ht="15.75" x14ac:dyDescent="0.25">
      <c r="A40" s="83">
        <v>14</v>
      </c>
      <c r="B40" s="84" t="s">
        <v>30</v>
      </c>
      <c r="C40" s="85" t="s">
        <v>25</v>
      </c>
      <c r="D40" s="86">
        <v>324</v>
      </c>
      <c r="E40" s="110">
        <v>119000</v>
      </c>
      <c r="F40" s="77">
        <f t="shared" si="8"/>
        <v>38556000</v>
      </c>
      <c r="G40" s="110">
        <v>170000</v>
      </c>
      <c r="H40" s="77">
        <f t="shared" si="0"/>
        <v>55080000</v>
      </c>
      <c r="I40" s="110">
        <v>309481</v>
      </c>
      <c r="J40" s="77">
        <f t="shared" si="1"/>
        <v>100271844</v>
      </c>
      <c r="K40" s="110">
        <v>217905</v>
      </c>
      <c r="L40" s="77">
        <f t="shared" si="2"/>
        <v>70601220</v>
      </c>
      <c r="M40" s="110">
        <v>132300</v>
      </c>
      <c r="N40" s="77">
        <f t="shared" si="3"/>
        <v>42865200</v>
      </c>
      <c r="O40" s="87">
        <f>+ROUND(AVERAGE(E40,G40,K40,M40),0)</f>
        <v>159801</v>
      </c>
      <c r="P40" s="77">
        <f t="shared" si="9"/>
        <v>51775524</v>
      </c>
      <c r="Q40" s="66"/>
      <c r="R40" s="127">
        <f t="shared" si="4"/>
        <v>189737.2</v>
      </c>
      <c r="S40" s="128">
        <f t="shared" si="5"/>
        <v>77175.681187145979</v>
      </c>
      <c r="T40" s="129">
        <f t="shared" si="6"/>
        <v>112561.51881285403</v>
      </c>
      <c r="U40" s="129">
        <f t="shared" si="7"/>
        <v>266912.88118714601</v>
      </c>
    </row>
    <row r="41" spans="1:21" s="67" customFormat="1" ht="31.5" x14ac:dyDescent="0.25">
      <c r="A41" s="83">
        <v>15</v>
      </c>
      <c r="B41" s="84" t="s">
        <v>31</v>
      </c>
      <c r="C41" s="85" t="s">
        <v>25</v>
      </c>
      <c r="D41" s="86">
        <v>400</v>
      </c>
      <c r="E41" s="110">
        <v>238000</v>
      </c>
      <c r="F41" s="77">
        <f t="shared" si="8"/>
        <v>95200000</v>
      </c>
      <c r="G41" s="110">
        <v>350000</v>
      </c>
      <c r="H41" s="77">
        <f t="shared" si="0"/>
        <v>140000000</v>
      </c>
      <c r="I41" s="110">
        <v>55784</v>
      </c>
      <c r="J41" s="77">
        <f t="shared" si="1"/>
        <v>22313600</v>
      </c>
      <c r="K41" s="110">
        <v>120000</v>
      </c>
      <c r="L41" s="77">
        <f t="shared" si="2"/>
        <v>48000000</v>
      </c>
      <c r="M41" s="110">
        <v>112372</v>
      </c>
      <c r="N41" s="77">
        <f t="shared" si="3"/>
        <v>44948800</v>
      </c>
      <c r="O41" s="87">
        <f>+ROUND(AVERAGE(E41,K41,M41),0)</f>
        <v>156791</v>
      </c>
      <c r="P41" s="77">
        <f t="shared" si="9"/>
        <v>62716400</v>
      </c>
      <c r="Q41" s="66"/>
      <c r="R41" s="127">
        <f t="shared" si="4"/>
        <v>175231.2</v>
      </c>
      <c r="S41" s="128">
        <f t="shared" si="5"/>
        <v>118060.84635983259</v>
      </c>
      <c r="T41" s="129">
        <f t="shared" si="6"/>
        <v>57170.353640167421</v>
      </c>
      <c r="U41" s="129">
        <f t="shared" si="7"/>
        <v>293292.04635983263</v>
      </c>
    </row>
    <row r="42" spans="1:21" s="67" customFormat="1" ht="15.75" x14ac:dyDescent="0.25">
      <c r="A42" s="83">
        <v>16</v>
      </c>
      <c r="B42" s="84" t="s">
        <v>32</v>
      </c>
      <c r="C42" s="85" t="s">
        <v>33</v>
      </c>
      <c r="D42" s="86">
        <v>12</v>
      </c>
      <c r="E42" s="110">
        <v>2450000</v>
      </c>
      <c r="F42" s="77">
        <f t="shared" si="8"/>
        <v>29400000</v>
      </c>
      <c r="G42" s="110">
        <v>1000000</v>
      </c>
      <c r="H42" s="77">
        <f t="shared" si="0"/>
        <v>12000000</v>
      </c>
      <c r="I42" s="110">
        <v>675011</v>
      </c>
      <c r="J42" s="77">
        <f t="shared" si="1"/>
        <v>8100132</v>
      </c>
      <c r="K42" s="110">
        <v>585000</v>
      </c>
      <c r="L42" s="77">
        <f t="shared" si="2"/>
        <v>7020000</v>
      </c>
      <c r="M42" s="110">
        <v>472500</v>
      </c>
      <c r="N42" s="77">
        <f t="shared" si="3"/>
        <v>5670000</v>
      </c>
      <c r="O42" s="87">
        <f>+ROUND(AVERAGE(G42,I42,K42,M42),0)</f>
        <v>683128</v>
      </c>
      <c r="P42" s="77">
        <f t="shared" si="9"/>
        <v>8197536</v>
      </c>
      <c r="Q42" s="66"/>
      <c r="R42" s="127">
        <f t="shared" si="4"/>
        <v>1036502.2</v>
      </c>
      <c r="S42" s="128">
        <f t="shared" si="5"/>
        <v>814238.45510648785</v>
      </c>
      <c r="T42" s="129">
        <f t="shared" si="6"/>
        <v>222263.74489351211</v>
      </c>
      <c r="U42" s="129">
        <f t="shared" si="7"/>
        <v>1850740.6551064877</v>
      </c>
    </row>
    <row r="43" spans="1:21" s="67" customFormat="1" ht="15.75" x14ac:dyDescent="0.25">
      <c r="A43" s="83">
        <v>17</v>
      </c>
      <c r="B43" s="84" t="s">
        <v>56</v>
      </c>
      <c r="C43" s="85" t="s">
        <v>25</v>
      </c>
      <c r="D43" s="86">
        <v>150</v>
      </c>
      <c r="E43" s="110">
        <v>203000</v>
      </c>
      <c r="F43" s="77">
        <f t="shared" si="8"/>
        <v>30450000</v>
      </c>
      <c r="G43" s="110">
        <v>95000</v>
      </c>
      <c r="H43" s="77">
        <f t="shared" si="0"/>
        <v>14250000</v>
      </c>
      <c r="I43" s="110">
        <v>55944</v>
      </c>
      <c r="J43" s="77">
        <f t="shared" si="1"/>
        <v>8391600</v>
      </c>
      <c r="K43" s="110">
        <v>120000</v>
      </c>
      <c r="L43" s="77">
        <f t="shared" si="2"/>
        <v>18000000</v>
      </c>
      <c r="M43" s="110">
        <v>112372</v>
      </c>
      <c r="N43" s="77">
        <f t="shared" si="3"/>
        <v>16855800</v>
      </c>
      <c r="O43" s="87">
        <f>+ROUND(AVERAGE(G43,K43,M43),0)</f>
        <v>109124</v>
      </c>
      <c r="P43" s="77">
        <f t="shared" si="9"/>
        <v>16368600</v>
      </c>
      <c r="Q43" s="66"/>
      <c r="R43" s="127">
        <f t="shared" si="4"/>
        <v>117263.2</v>
      </c>
      <c r="S43" s="128">
        <f t="shared" si="5"/>
        <v>53939.566064253806</v>
      </c>
      <c r="T43" s="129">
        <f t="shared" si="6"/>
        <v>63323.633935746191</v>
      </c>
      <c r="U43" s="129">
        <f t="shared" si="7"/>
        <v>171202.76606425381</v>
      </c>
    </row>
    <row r="44" spans="1:21" s="67" customFormat="1" ht="15.75" x14ac:dyDescent="0.25">
      <c r="A44" s="83">
        <v>18</v>
      </c>
      <c r="B44" s="84" t="s">
        <v>57</v>
      </c>
      <c r="C44" s="85" t="s">
        <v>25</v>
      </c>
      <c r="D44" s="86">
        <v>120</v>
      </c>
      <c r="E44" s="110">
        <v>62720</v>
      </c>
      <c r="F44" s="77">
        <f t="shared" si="8"/>
        <v>7526400</v>
      </c>
      <c r="G44" s="110">
        <v>200000</v>
      </c>
      <c r="H44" s="77">
        <f t="shared" si="0"/>
        <v>24000000</v>
      </c>
      <c r="I44" s="110">
        <v>64690.75</v>
      </c>
      <c r="J44" s="77">
        <f t="shared" si="1"/>
        <v>7762890</v>
      </c>
      <c r="K44" s="110">
        <v>57200</v>
      </c>
      <c r="L44" s="77">
        <f t="shared" si="2"/>
        <v>6864000</v>
      </c>
      <c r="M44" s="110">
        <v>59346</v>
      </c>
      <c r="N44" s="77">
        <f t="shared" si="3"/>
        <v>7121520</v>
      </c>
      <c r="O44" s="87">
        <f>+ROUND(AVERAGE(E44,I44,K44,M44),0)</f>
        <v>60989</v>
      </c>
      <c r="P44" s="77">
        <f t="shared" si="9"/>
        <v>7318680</v>
      </c>
      <c r="Q44" s="66"/>
      <c r="R44" s="127">
        <f t="shared" si="4"/>
        <v>88791.35</v>
      </c>
      <c r="S44" s="128">
        <f t="shared" si="5"/>
        <v>62235.359879754047</v>
      </c>
      <c r="T44" s="129">
        <f t="shared" si="6"/>
        <v>26555.990120245959</v>
      </c>
      <c r="U44" s="129">
        <f t="shared" si="7"/>
        <v>151026.70987975405</v>
      </c>
    </row>
    <row r="45" spans="1:21" s="67" customFormat="1" ht="15.75" x14ac:dyDescent="0.25">
      <c r="A45" s="83">
        <v>19</v>
      </c>
      <c r="B45" s="84" t="s">
        <v>58</v>
      </c>
      <c r="C45" s="85" t="s">
        <v>25</v>
      </c>
      <c r="D45" s="86">
        <v>30</v>
      </c>
      <c r="E45" s="110">
        <v>203000</v>
      </c>
      <c r="F45" s="77">
        <f t="shared" si="8"/>
        <v>6090000</v>
      </c>
      <c r="G45" s="110">
        <v>150000</v>
      </c>
      <c r="H45" s="77">
        <f t="shared" si="0"/>
        <v>4500000</v>
      </c>
      <c r="I45" s="110">
        <v>95983</v>
      </c>
      <c r="J45" s="77">
        <f t="shared" si="1"/>
        <v>2879490</v>
      </c>
      <c r="K45" s="110">
        <v>120000</v>
      </c>
      <c r="L45" s="77">
        <f t="shared" si="2"/>
        <v>3600000</v>
      </c>
      <c r="M45" s="110">
        <v>192300.75</v>
      </c>
      <c r="N45" s="77">
        <f t="shared" si="3"/>
        <v>5769023</v>
      </c>
      <c r="O45" s="87">
        <f>+ROUND(AVERAGE(G45,K45,M45),0)</f>
        <v>154100</v>
      </c>
      <c r="P45" s="77">
        <f t="shared" si="9"/>
        <v>4623000</v>
      </c>
      <c r="Q45" s="66"/>
      <c r="R45" s="127">
        <f t="shared" si="4"/>
        <v>152256.75</v>
      </c>
      <c r="S45" s="128">
        <f t="shared" si="5"/>
        <v>45800.450698519329</v>
      </c>
      <c r="T45" s="129">
        <f t="shared" si="6"/>
        <v>106456.29930148067</v>
      </c>
      <c r="U45" s="129">
        <f t="shared" si="7"/>
        <v>198057.20069851933</v>
      </c>
    </row>
    <row r="46" spans="1:21" s="67" customFormat="1" ht="31.5" x14ac:dyDescent="0.25">
      <c r="A46" s="83">
        <v>20</v>
      </c>
      <c r="B46" s="84" t="s">
        <v>34</v>
      </c>
      <c r="C46" s="85" t="s">
        <v>18</v>
      </c>
      <c r="D46" s="86">
        <v>32</v>
      </c>
      <c r="E46" s="110">
        <v>1043700</v>
      </c>
      <c r="F46" s="77">
        <f t="shared" si="8"/>
        <v>33398400</v>
      </c>
      <c r="G46" s="110">
        <v>1500000</v>
      </c>
      <c r="H46" s="77">
        <f t="shared" si="0"/>
        <v>48000000</v>
      </c>
      <c r="I46" s="110">
        <v>750000</v>
      </c>
      <c r="J46" s="77">
        <f t="shared" si="1"/>
        <v>24000000</v>
      </c>
      <c r="K46" s="110">
        <v>1762165</v>
      </c>
      <c r="L46" s="77">
        <f t="shared" si="2"/>
        <v>56389280</v>
      </c>
      <c r="M46" s="110">
        <v>1009260</v>
      </c>
      <c r="N46" s="77">
        <f t="shared" si="3"/>
        <v>32296320</v>
      </c>
      <c r="O46" s="87">
        <f>+ROUND(AVERAGE(E46,G46,M46),0)</f>
        <v>1184320</v>
      </c>
      <c r="P46" s="77">
        <f t="shared" si="9"/>
        <v>37898240</v>
      </c>
      <c r="Q46" s="66"/>
      <c r="R46" s="127">
        <f t="shared" si="4"/>
        <v>1213025</v>
      </c>
      <c r="S46" s="128">
        <f t="shared" si="5"/>
        <v>408807.0057190801</v>
      </c>
      <c r="T46" s="129">
        <f t="shared" si="6"/>
        <v>804217.9942809199</v>
      </c>
      <c r="U46" s="129">
        <f t="shared" si="7"/>
        <v>1621832.0057190801</v>
      </c>
    </row>
    <row r="47" spans="1:21" s="67" customFormat="1" ht="47.25" x14ac:dyDescent="0.25">
      <c r="A47" s="83">
        <v>21</v>
      </c>
      <c r="B47" s="84" t="s">
        <v>59</v>
      </c>
      <c r="C47" s="85" t="s">
        <v>33</v>
      </c>
      <c r="D47" s="86">
        <v>1</v>
      </c>
      <c r="E47" s="110">
        <v>55832000</v>
      </c>
      <c r="F47" s="77">
        <f t="shared" si="8"/>
        <v>55832000</v>
      </c>
      <c r="G47" s="110">
        <v>60000000</v>
      </c>
      <c r="H47" s="77">
        <f t="shared" si="0"/>
        <v>60000000</v>
      </c>
      <c r="I47" s="110">
        <v>30330308</v>
      </c>
      <c r="J47" s="77">
        <f t="shared" si="1"/>
        <v>30330308</v>
      </c>
      <c r="K47" s="110">
        <v>252136937</v>
      </c>
      <c r="L47" s="77">
        <f t="shared" si="2"/>
        <v>252136937</v>
      </c>
      <c r="M47" s="110">
        <v>150117300</v>
      </c>
      <c r="N47" s="77">
        <f t="shared" si="3"/>
        <v>150117300</v>
      </c>
      <c r="O47" s="87">
        <f>+ROUND(AVERAGE(E47,G47,I47,M47),0)</f>
        <v>74069902</v>
      </c>
      <c r="P47" s="77">
        <f t="shared" si="9"/>
        <v>74069902</v>
      </c>
      <c r="Q47" s="66"/>
      <c r="R47" s="127">
        <f t="shared" si="4"/>
        <v>109683309</v>
      </c>
      <c r="S47" s="128">
        <f t="shared" si="5"/>
        <v>91642289.910907701</v>
      </c>
      <c r="T47" s="129">
        <f t="shared" si="6"/>
        <v>18041019.089092299</v>
      </c>
      <c r="U47" s="129">
        <f t="shared" si="7"/>
        <v>201325598.91090769</v>
      </c>
    </row>
    <row r="48" spans="1:21" s="67" customFormat="1" ht="15.75" x14ac:dyDescent="0.25">
      <c r="A48" s="83">
        <v>22</v>
      </c>
      <c r="B48" s="84" t="s">
        <v>60</v>
      </c>
      <c r="C48" s="85" t="s">
        <v>15</v>
      </c>
      <c r="D48" s="86">
        <v>2030</v>
      </c>
      <c r="E48" s="110">
        <v>277200</v>
      </c>
      <c r="F48" s="77">
        <f t="shared" si="8"/>
        <v>562716000</v>
      </c>
      <c r="G48" s="110">
        <v>400000</v>
      </c>
      <c r="H48" s="77">
        <f t="shared" si="0"/>
        <v>812000000</v>
      </c>
      <c r="I48" s="110">
        <v>112665</v>
      </c>
      <c r="J48" s="77">
        <f t="shared" si="1"/>
        <v>228709950</v>
      </c>
      <c r="K48" s="110">
        <v>287100</v>
      </c>
      <c r="L48" s="77">
        <f t="shared" si="2"/>
        <v>582813000</v>
      </c>
      <c r="M48" s="110"/>
      <c r="N48" s="77">
        <f t="shared" si="3"/>
        <v>0</v>
      </c>
      <c r="O48" s="87">
        <f>+ROUND(AVERAGE(E48,K48),0)</f>
        <v>282150</v>
      </c>
      <c r="P48" s="77">
        <f t="shared" si="9"/>
        <v>572764500</v>
      </c>
      <c r="Q48" s="66"/>
      <c r="R48" s="127">
        <f t="shared" si="4"/>
        <v>269241.25</v>
      </c>
      <c r="S48" s="128">
        <f t="shared" si="5"/>
        <v>118316.3125112087</v>
      </c>
      <c r="T48" s="129">
        <f t="shared" si="6"/>
        <v>150924.9374887913</v>
      </c>
      <c r="U48" s="129">
        <f t="shared" si="7"/>
        <v>387557.5625112087</v>
      </c>
    </row>
    <row r="49" spans="1:21" s="67" customFormat="1" ht="15.75" x14ac:dyDescent="0.25">
      <c r="A49" s="83">
        <v>23</v>
      </c>
      <c r="B49" s="84" t="s">
        <v>35</v>
      </c>
      <c r="C49" s="85" t="s">
        <v>25</v>
      </c>
      <c r="D49" s="86">
        <v>180</v>
      </c>
      <c r="E49" s="110">
        <v>357000</v>
      </c>
      <c r="F49" s="77">
        <f t="shared" si="8"/>
        <v>64260000</v>
      </c>
      <c r="G49" s="110">
        <v>830000</v>
      </c>
      <c r="H49" s="77">
        <f t="shared" si="0"/>
        <v>149400000</v>
      </c>
      <c r="I49" s="110">
        <v>1050900</v>
      </c>
      <c r="J49" s="77">
        <f t="shared" si="1"/>
        <v>189162000</v>
      </c>
      <c r="K49" s="110">
        <v>445000</v>
      </c>
      <c r="L49" s="77">
        <f t="shared" si="2"/>
        <v>80100000</v>
      </c>
      <c r="M49" s="110">
        <v>207900</v>
      </c>
      <c r="N49" s="77">
        <f t="shared" si="3"/>
        <v>37422000</v>
      </c>
      <c r="O49" s="87">
        <f>+ROUND(AVERAGE(E49,G49,K49),0)</f>
        <v>544000</v>
      </c>
      <c r="P49" s="77">
        <f t="shared" si="9"/>
        <v>97920000</v>
      </c>
      <c r="Q49" s="66"/>
      <c r="R49" s="127">
        <f t="shared" si="4"/>
        <v>578160</v>
      </c>
      <c r="S49" s="128">
        <f t="shared" si="5"/>
        <v>350229.31487812381</v>
      </c>
      <c r="T49" s="129">
        <f t="shared" si="6"/>
        <v>227930.68512187619</v>
      </c>
      <c r="U49" s="129">
        <f t="shared" si="7"/>
        <v>928389.31487812381</v>
      </c>
    </row>
    <row r="50" spans="1:21" s="67" customFormat="1" ht="15.75" x14ac:dyDescent="0.25">
      <c r="A50" s="83">
        <v>24</v>
      </c>
      <c r="B50" s="84" t="s">
        <v>36</v>
      </c>
      <c r="C50" s="85" t="s">
        <v>33</v>
      </c>
      <c r="D50" s="86">
        <v>2</v>
      </c>
      <c r="E50" s="110">
        <v>1757000</v>
      </c>
      <c r="F50" s="77">
        <f t="shared" si="8"/>
        <v>3514000</v>
      </c>
      <c r="G50" s="110">
        <v>4500000</v>
      </c>
      <c r="H50" s="77">
        <f t="shared" si="0"/>
        <v>9000000</v>
      </c>
      <c r="I50" s="110">
        <v>950000</v>
      </c>
      <c r="J50" s="77">
        <f t="shared" si="1"/>
        <v>1900000</v>
      </c>
      <c r="K50" s="110">
        <v>1750000</v>
      </c>
      <c r="L50" s="77">
        <f t="shared" si="2"/>
        <v>3500000</v>
      </c>
      <c r="M50" s="110">
        <v>627750</v>
      </c>
      <c r="N50" s="77">
        <f t="shared" si="3"/>
        <v>1255500</v>
      </c>
      <c r="O50" s="87">
        <f>+ROUND(AVERAGE(E50,I50,K50,M50),0)</f>
        <v>1271188</v>
      </c>
      <c r="P50" s="77">
        <f t="shared" si="9"/>
        <v>2542376</v>
      </c>
      <c r="Q50" s="66"/>
      <c r="R50" s="127">
        <f t="shared" si="4"/>
        <v>1916950</v>
      </c>
      <c r="S50" s="128">
        <f t="shared" si="5"/>
        <v>1526649.3171321303</v>
      </c>
      <c r="T50" s="129">
        <f t="shared" si="6"/>
        <v>390300.68286786973</v>
      </c>
      <c r="U50" s="129">
        <f t="shared" si="7"/>
        <v>3443599.3171321303</v>
      </c>
    </row>
    <row r="51" spans="1:21" s="67" customFormat="1" ht="15.75" x14ac:dyDescent="0.25">
      <c r="A51" s="83">
        <v>25</v>
      </c>
      <c r="B51" s="84" t="s">
        <v>37</v>
      </c>
      <c r="C51" s="85" t="s">
        <v>33</v>
      </c>
      <c r="D51" s="86">
        <v>1</v>
      </c>
      <c r="E51" s="110">
        <v>13300</v>
      </c>
      <c r="F51" s="77">
        <f t="shared" si="8"/>
        <v>13300</v>
      </c>
      <c r="G51" s="110">
        <v>5000000</v>
      </c>
      <c r="H51" s="77">
        <f t="shared" si="0"/>
        <v>5000000</v>
      </c>
      <c r="I51" s="110">
        <v>3316180.07</v>
      </c>
      <c r="J51" s="77">
        <f t="shared" si="1"/>
        <v>3316180</v>
      </c>
      <c r="K51" s="110">
        <v>1250000</v>
      </c>
      <c r="L51" s="77">
        <f t="shared" si="2"/>
        <v>1250000</v>
      </c>
      <c r="M51" s="110">
        <v>6500000</v>
      </c>
      <c r="N51" s="77">
        <f t="shared" si="3"/>
        <v>6500000</v>
      </c>
      <c r="O51" s="87">
        <f>+ROUND(AVERAGE(G51,I51,K51),0)</f>
        <v>3188727</v>
      </c>
      <c r="P51" s="77">
        <f t="shared" si="9"/>
        <v>3188727</v>
      </c>
      <c r="Q51" s="66"/>
      <c r="R51" s="127">
        <f t="shared" si="4"/>
        <v>3215896.014</v>
      </c>
      <c r="S51" s="128">
        <f t="shared" si="5"/>
        <v>2650461.8127016919</v>
      </c>
      <c r="T51" s="129">
        <f t="shared" si="6"/>
        <v>565434.20129830809</v>
      </c>
      <c r="U51" s="129">
        <f t="shared" si="7"/>
        <v>5866357.8267016914</v>
      </c>
    </row>
    <row r="52" spans="1:21" s="67" customFormat="1" ht="15.75" x14ac:dyDescent="0.25">
      <c r="A52" s="83">
        <v>26</v>
      </c>
      <c r="B52" s="84" t="s">
        <v>38</v>
      </c>
      <c r="C52" s="85" t="s">
        <v>15</v>
      </c>
      <c r="D52" s="86">
        <v>370</v>
      </c>
      <c r="E52" s="110">
        <v>113400</v>
      </c>
      <c r="F52" s="77">
        <f t="shared" si="8"/>
        <v>41958000</v>
      </c>
      <c r="G52" s="110">
        <v>100000</v>
      </c>
      <c r="H52" s="77">
        <f t="shared" si="0"/>
        <v>37000000</v>
      </c>
      <c r="I52" s="110">
        <v>7639</v>
      </c>
      <c r="J52" s="77">
        <f t="shared" si="1"/>
        <v>2826430</v>
      </c>
      <c r="K52" s="110">
        <v>17000</v>
      </c>
      <c r="L52" s="77">
        <f t="shared" si="2"/>
        <v>6290000</v>
      </c>
      <c r="M52" s="110">
        <v>16605</v>
      </c>
      <c r="N52" s="77">
        <f t="shared" si="3"/>
        <v>6143850</v>
      </c>
      <c r="O52" s="87">
        <f>+ROUND(AVERAGE(G52,I52,K52,M52),0)</f>
        <v>35311</v>
      </c>
      <c r="P52" s="77">
        <f t="shared" si="9"/>
        <v>13065070</v>
      </c>
      <c r="Q52" s="66"/>
      <c r="R52" s="127">
        <f t="shared" si="4"/>
        <v>50928.800000000003</v>
      </c>
      <c r="S52" s="128">
        <f t="shared" si="5"/>
        <v>51268.720968052243</v>
      </c>
      <c r="T52" s="129">
        <f t="shared" si="6"/>
        <v>-339.92096805223991</v>
      </c>
      <c r="U52" s="129">
        <f t="shared" si="7"/>
        <v>102197.52096805224</v>
      </c>
    </row>
    <row r="53" spans="1:21" s="67" customFormat="1" ht="15.75" x14ac:dyDescent="0.25">
      <c r="A53" s="83">
        <v>27</v>
      </c>
      <c r="B53" s="84" t="s">
        <v>39</v>
      </c>
      <c r="C53" s="85" t="s">
        <v>7</v>
      </c>
      <c r="D53" s="86">
        <v>1</v>
      </c>
      <c r="E53" s="110">
        <v>28000000</v>
      </c>
      <c r="F53" s="77">
        <f t="shared" si="8"/>
        <v>28000000</v>
      </c>
      <c r="G53" s="110">
        <v>200000</v>
      </c>
      <c r="H53" s="77">
        <f t="shared" si="0"/>
        <v>200000</v>
      </c>
      <c r="I53" s="110">
        <v>58319184</v>
      </c>
      <c r="J53" s="77">
        <f t="shared" si="1"/>
        <v>58319184</v>
      </c>
      <c r="K53" s="110">
        <v>3250000</v>
      </c>
      <c r="L53" s="77">
        <f t="shared" si="2"/>
        <v>3250000</v>
      </c>
      <c r="M53" s="110">
        <v>4968000</v>
      </c>
      <c r="N53" s="77">
        <f t="shared" si="3"/>
        <v>4968000</v>
      </c>
      <c r="O53" s="87">
        <f>+ROUND(AVERAGE(E53,G53,K53,M53),0)</f>
        <v>9104500</v>
      </c>
      <c r="P53" s="77">
        <f t="shared" si="9"/>
        <v>9104500</v>
      </c>
      <c r="Q53" s="66"/>
      <c r="R53" s="127">
        <f t="shared" si="4"/>
        <v>18947436.800000001</v>
      </c>
      <c r="S53" s="128">
        <f t="shared" si="5"/>
        <v>24624093.587256592</v>
      </c>
      <c r="T53" s="129">
        <f t="shared" si="6"/>
        <v>-5676656.787256591</v>
      </c>
      <c r="U53" s="129">
        <f t="shared" si="7"/>
        <v>43571530.387256593</v>
      </c>
    </row>
    <row r="54" spans="1:21" s="67" customFormat="1" ht="15.75" x14ac:dyDescent="0.25">
      <c r="A54" s="133"/>
      <c r="B54" s="124" t="s">
        <v>101</v>
      </c>
      <c r="C54" s="134"/>
      <c r="D54" s="135"/>
      <c r="E54" s="120"/>
      <c r="F54" s="123">
        <f>529200000+400680000</f>
        <v>929880000</v>
      </c>
      <c r="G54" s="123"/>
      <c r="H54" s="123"/>
      <c r="I54" s="123"/>
      <c r="J54" s="123"/>
      <c r="K54" s="123"/>
      <c r="L54" s="123"/>
      <c r="M54" s="123"/>
      <c r="N54" s="123">
        <f>420*2025</f>
        <v>850500</v>
      </c>
      <c r="O54" s="136"/>
      <c r="P54" s="137"/>
      <c r="Q54" s="66"/>
      <c r="R54" s="127"/>
      <c r="S54" s="128"/>
      <c r="T54" s="129"/>
      <c r="U54" s="129"/>
    </row>
    <row r="55" spans="1:21" s="67" customFormat="1" ht="15.75" x14ac:dyDescent="0.25">
      <c r="A55" s="83"/>
      <c r="B55" s="89" t="s">
        <v>40</v>
      </c>
      <c r="C55" s="90"/>
      <c r="D55" s="91"/>
      <c r="E55" s="118"/>
      <c r="F55" s="92">
        <f>SUM(F27:F54)</f>
        <v>2466449555</v>
      </c>
      <c r="G55" s="119"/>
      <c r="H55" s="92">
        <f>SUM(H27:H53)</f>
        <v>1993306800</v>
      </c>
      <c r="I55" s="119"/>
      <c r="J55" s="92">
        <f>SUM(J27:J53)</f>
        <v>1156789582</v>
      </c>
      <c r="K55" s="119"/>
      <c r="L55" s="92">
        <f>SUM(L27:L53)</f>
        <v>2015407894</v>
      </c>
      <c r="M55" s="119"/>
      <c r="N55" s="92">
        <f>SUM(N27:N54)</f>
        <v>710121083</v>
      </c>
      <c r="O55" s="119"/>
      <c r="P55" s="92">
        <f>SUM(P27:P53)</f>
        <v>1420396745</v>
      </c>
      <c r="Q55" s="66"/>
      <c r="R55" s="127"/>
      <c r="S55" s="128"/>
      <c r="T55" s="129"/>
      <c r="U55" s="129"/>
    </row>
    <row r="56" spans="1:21" s="67" customFormat="1" ht="15.75" x14ac:dyDescent="0.25">
      <c r="A56" s="83"/>
      <c r="B56" s="93"/>
      <c r="C56" s="94"/>
      <c r="D56" s="95"/>
      <c r="E56" s="95"/>
      <c r="F56" s="95"/>
      <c r="G56" s="95"/>
      <c r="H56" s="95"/>
      <c r="I56" s="95"/>
      <c r="J56" s="95"/>
      <c r="K56" s="95"/>
      <c r="L56" s="95" t="s">
        <v>66</v>
      </c>
      <c r="M56" s="95"/>
      <c r="N56" s="95"/>
      <c r="O56" s="96"/>
      <c r="P56" s="88"/>
      <c r="Q56" s="66"/>
      <c r="R56" s="127"/>
      <c r="S56" s="128"/>
      <c r="T56" s="129"/>
      <c r="U56" s="129"/>
    </row>
    <row r="57" spans="1:21" s="67" customFormat="1" ht="15.75" x14ac:dyDescent="0.25">
      <c r="A57" s="83"/>
      <c r="B57" s="89" t="s">
        <v>41</v>
      </c>
      <c r="C57" s="90"/>
      <c r="E57" s="97">
        <f t="shared" ref="E57:P57" si="10">SUM(E59:E61)</f>
        <v>0.19</v>
      </c>
      <c r="F57" s="92">
        <f t="shared" si="10"/>
        <v>468625416</v>
      </c>
      <c r="G57" s="97">
        <f t="shared" si="10"/>
        <v>0.35</v>
      </c>
      <c r="H57" s="92">
        <f t="shared" si="10"/>
        <v>697657380</v>
      </c>
      <c r="I57" s="97">
        <f t="shared" si="10"/>
        <v>0.34</v>
      </c>
      <c r="J57" s="92">
        <f t="shared" si="10"/>
        <v>393308458</v>
      </c>
      <c r="K57" s="97">
        <f t="shared" si="10"/>
        <v>0.32</v>
      </c>
      <c r="L57" s="92">
        <f t="shared" si="10"/>
        <v>644930527</v>
      </c>
      <c r="M57" s="97">
        <f t="shared" si="10"/>
        <v>0.18</v>
      </c>
      <c r="N57" s="92">
        <f t="shared" si="10"/>
        <v>127821795</v>
      </c>
      <c r="O57" s="97">
        <f t="shared" si="10"/>
        <v>0.22000000000000003</v>
      </c>
      <c r="P57" s="92">
        <f t="shared" si="10"/>
        <v>312487283</v>
      </c>
      <c r="Q57" s="66"/>
      <c r="R57" s="127"/>
      <c r="S57" s="128"/>
      <c r="T57" s="129"/>
      <c r="U57" s="129"/>
    </row>
    <row r="58" spans="1:21" s="67" customFormat="1" ht="15.75" x14ac:dyDescent="0.25">
      <c r="A58" s="83"/>
      <c r="B58" s="93"/>
      <c r="C58" s="94"/>
      <c r="D58" s="96"/>
      <c r="E58" s="96"/>
      <c r="F58" s="96"/>
      <c r="G58" s="96"/>
      <c r="H58" s="96"/>
      <c r="I58" s="96"/>
      <c r="J58" s="96"/>
      <c r="K58" s="96"/>
      <c r="L58" s="96"/>
      <c r="M58" s="96"/>
      <c r="N58" s="96"/>
      <c r="O58" s="96"/>
      <c r="P58" s="88"/>
      <c r="Q58" s="66"/>
      <c r="R58" s="127"/>
      <c r="S58" s="128"/>
      <c r="T58" s="129"/>
      <c r="U58" s="129"/>
    </row>
    <row r="59" spans="1:21" s="67" customFormat="1" ht="15.75" x14ac:dyDescent="0.25">
      <c r="A59" s="83"/>
      <c r="B59" s="89" t="s">
        <v>42</v>
      </c>
      <c r="C59" s="90" t="s">
        <v>43</v>
      </c>
      <c r="D59" s="91"/>
      <c r="E59" s="95">
        <v>0.1</v>
      </c>
      <c r="F59" s="98">
        <f>+ROUND(E59*F$55,0)</f>
        <v>246644956</v>
      </c>
      <c r="G59" s="95">
        <v>0.2</v>
      </c>
      <c r="H59" s="98">
        <f>+ROUND(G59*H$55,0)</f>
        <v>398661360</v>
      </c>
      <c r="I59" s="95">
        <v>0.27</v>
      </c>
      <c r="J59" s="98">
        <f>+ROUND(I59*J$55,0)</f>
        <v>312333187</v>
      </c>
      <c r="K59" s="95">
        <v>0.24</v>
      </c>
      <c r="L59" s="98">
        <f>+ROUND(K59*L$55,0)</f>
        <v>483697895</v>
      </c>
      <c r="M59" s="95">
        <v>0.12</v>
      </c>
      <c r="N59" s="98">
        <f>+ROUND(M59*N$55,0)</f>
        <v>85214530</v>
      </c>
      <c r="O59" s="132">
        <f>+ROUND(AVERAGE(,G59,K59,M59),2)</f>
        <v>0.14000000000000001</v>
      </c>
      <c r="P59" s="98">
        <f>+ROUND(O59*P$55,0)</f>
        <v>198855544</v>
      </c>
      <c r="Q59" s="66"/>
      <c r="R59" s="130">
        <f t="shared" si="4"/>
        <v>0.186</v>
      </c>
      <c r="S59" s="131">
        <f t="shared" si="5"/>
        <v>7.4027022093286932E-2</v>
      </c>
      <c r="T59" s="131">
        <f t="shared" si="6"/>
        <v>0.11197297790671307</v>
      </c>
      <c r="U59" s="131">
        <f t="shared" si="7"/>
        <v>0.26002702209328693</v>
      </c>
    </row>
    <row r="60" spans="1:21" s="67" customFormat="1" ht="15.75" x14ac:dyDescent="0.25">
      <c r="A60" s="83"/>
      <c r="B60" s="89" t="s">
        <v>44</v>
      </c>
      <c r="C60" s="90" t="s">
        <v>43</v>
      </c>
      <c r="D60" s="91"/>
      <c r="E60" s="95">
        <v>0.04</v>
      </c>
      <c r="F60" s="98">
        <f>+ROUND(E60*F$55,0)</f>
        <v>98657982</v>
      </c>
      <c r="G60" s="95">
        <v>0.05</v>
      </c>
      <c r="H60" s="98">
        <f>+ROUND(G60*H$55,0)</f>
        <v>99665340</v>
      </c>
      <c r="I60" s="95">
        <v>0.02</v>
      </c>
      <c r="J60" s="98">
        <f>+ROUND(I60*J$55,0)</f>
        <v>23135792</v>
      </c>
      <c r="K60" s="95">
        <v>0.03</v>
      </c>
      <c r="L60" s="98">
        <f>+ROUND(K60*L$55,0)</f>
        <v>60462237</v>
      </c>
      <c r="M60" s="95">
        <v>0.02</v>
      </c>
      <c r="N60" s="98">
        <f>+ROUND(M60*N$55,0)</f>
        <v>14202422</v>
      </c>
      <c r="O60" s="132">
        <f>+ROUND(AVERAGE(,G60,K60,M60),2)</f>
        <v>0.03</v>
      </c>
      <c r="P60" s="98">
        <f>+ROUND(O60*P$55,0)</f>
        <v>42611902</v>
      </c>
      <c r="Q60" s="66"/>
      <c r="R60" s="130">
        <f t="shared" si="4"/>
        <v>3.2000000000000001E-2</v>
      </c>
      <c r="S60" s="131">
        <f t="shared" si="5"/>
        <v>1.3038404810405298E-2</v>
      </c>
      <c r="T60" s="131">
        <f t="shared" si="6"/>
        <v>1.8961595189594702E-2</v>
      </c>
      <c r="U60" s="131">
        <f t="shared" si="7"/>
        <v>4.5038404810405303E-2</v>
      </c>
    </row>
    <row r="61" spans="1:21" s="67" customFormat="1" ht="15.75" x14ac:dyDescent="0.25">
      <c r="A61" s="83"/>
      <c r="B61" s="89" t="s">
        <v>45</v>
      </c>
      <c r="C61" s="90" t="s">
        <v>43</v>
      </c>
      <c r="D61" s="91"/>
      <c r="E61" s="95">
        <v>0.05</v>
      </c>
      <c r="F61" s="98">
        <f>+ROUND(E61*F$55,0)</f>
        <v>123322478</v>
      </c>
      <c r="G61" s="95">
        <v>0.1</v>
      </c>
      <c r="H61" s="98">
        <f>+ROUND(G61*H$55,0)</f>
        <v>199330680</v>
      </c>
      <c r="I61" s="95">
        <v>0.05</v>
      </c>
      <c r="J61" s="98">
        <f>+ROUND(I61*J$55,0)</f>
        <v>57839479</v>
      </c>
      <c r="K61" s="95">
        <v>0.05</v>
      </c>
      <c r="L61" s="98">
        <f>+ROUND(K61*L$55,0)</f>
        <v>100770395</v>
      </c>
      <c r="M61" s="95">
        <v>0.04</v>
      </c>
      <c r="N61" s="98">
        <f>+ROUND(M61*N$55,0)</f>
        <v>28404843</v>
      </c>
      <c r="O61" s="132">
        <f>+ROUND(AVERAGE(,G61,K61,M61),2)</f>
        <v>0.05</v>
      </c>
      <c r="P61" s="98">
        <f>+ROUND(O61*P$55,0)</f>
        <v>71019837</v>
      </c>
      <c r="Q61" s="66"/>
      <c r="R61" s="130">
        <f t="shared" si="4"/>
        <v>5.7999999999999996E-2</v>
      </c>
      <c r="S61" s="131">
        <f t="shared" si="5"/>
        <v>2.3874672772626667E-2</v>
      </c>
      <c r="T61" s="131">
        <f t="shared" si="6"/>
        <v>3.4125327227373325E-2</v>
      </c>
      <c r="U61" s="131">
        <f t="shared" si="7"/>
        <v>8.1874672772626667E-2</v>
      </c>
    </row>
    <row r="62" spans="1:21" s="67" customFormat="1" ht="15.75" x14ac:dyDescent="0.25">
      <c r="A62" s="83"/>
      <c r="B62" s="93"/>
      <c r="C62" s="94"/>
      <c r="D62" s="96"/>
      <c r="E62" s="96"/>
      <c r="F62" s="96"/>
      <c r="G62" s="96"/>
      <c r="H62" s="96"/>
      <c r="I62" s="96"/>
      <c r="J62" s="96"/>
      <c r="K62" s="96"/>
      <c r="L62" s="96"/>
      <c r="M62" s="96"/>
      <c r="N62" s="96"/>
      <c r="O62" s="96"/>
      <c r="P62" s="88"/>
      <c r="Q62" s="66"/>
      <c r="R62" s="66"/>
    </row>
    <row r="63" spans="1:21" s="67" customFormat="1" ht="15.75" x14ac:dyDescent="0.25">
      <c r="A63" s="83"/>
      <c r="B63" s="89" t="s">
        <v>46</v>
      </c>
      <c r="C63" s="90"/>
      <c r="D63" s="91"/>
      <c r="E63" s="91"/>
      <c r="F63" s="92">
        <f>+ROUND(F61*19%,0)</f>
        <v>23431271</v>
      </c>
      <c r="G63" s="91"/>
      <c r="H63" s="92">
        <f>+ROUND(H61*19%,0)</f>
        <v>37872829</v>
      </c>
      <c r="I63" s="91"/>
      <c r="J63" s="92">
        <f>+ROUND(J61*19%,0)</f>
        <v>10989501</v>
      </c>
      <c r="K63" s="91"/>
      <c r="L63" s="92">
        <f>+ROUND(L61*19%,0)</f>
        <v>19146375</v>
      </c>
      <c r="M63" s="91"/>
      <c r="N63" s="92">
        <f>+ROUND(N61*19%,0)</f>
        <v>5396920</v>
      </c>
      <c r="O63" s="91"/>
      <c r="P63" s="92">
        <f>+ROUND(P61*19%,0)</f>
        <v>13493769</v>
      </c>
      <c r="Q63" s="66"/>
      <c r="R63" s="66"/>
    </row>
    <row r="64" spans="1:21" s="67" customFormat="1" ht="15.75" x14ac:dyDescent="0.25">
      <c r="A64" s="83"/>
      <c r="B64" s="93"/>
      <c r="C64" s="94"/>
      <c r="D64" s="96"/>
      <c r="E64" s="96"/>
      <c r="F64" s="96"/>
      <c r="G64" s="96"/>
      <c r="H64" s="96"/>
      <c r="I64" s="96"/>
      <c r="J64" s="96"/>
      <c r="K64" s="96"/>
      <c r="L64" s="96"/>
      <c r="M64" s="96"/>
      <c r="N64" s="96"/>
      <c r="O64" s="96"/>
      <c r="P64" s="88"/>
      <c r="Q64" s="66"/>
      <c r="R64" s="66"/>
    </row>
    <row r="65" spans="1:35" s="67" customFormat="1" ht="15.75" x14ac:dyDescent="0.25">
      <c r="A65" s="99" t="s">
        <v>47</v>
      </c>
      <c r="B65" s="100" t="s">
        <v>48</v>
      </c>
      <c r="C65" s="101"/>
      <c r="D65" s="102"/>
      <c r="E65" s="102"/>
      <c r="F65" s="82">
        <f>SUM(F55,F57,F63)</f>
        <v>2958506242</v>
      </c>
      <c r="G65" s="102"/>
      <c r="H65" s="82">
        <f>SUM(H55,H57,H63)</f>
        <v>2728837009</v>
      </c>
      <c r="I65" s="102"/>
      <c r="J65" s="82">
        <f>SUM(J55,J57,J63)</f>
        <v>1561087541</v>
      </c>
      <c r="K65" s="102"/>
      <c r="L65" s="82">
        <f>SUM(L55,L57,L63)</f>
        <v>2679484796</v>
      </c>
      <c r="M65" s="102"/>
      <c r="N65" s="82">
        <f>SUM(N55,N57,N63)</f>
        <v>843339798</v>
      </c>
      <c r="O65" s="102"/>
      <c r="P65" s="82">
        <f>SUM(P55,P57,P63)</f>
        <v>1746377797</v>
      </c>
      <c r="Q65" s="66"/>
      <c r="R65" s="66"/>
    </row>
    <row r="66" spans="1:35" s="67" customFormat="1" ht="15.75" x14ac:dyDescent="0.25">
      <c r="A66" s="68"/>
      <c r="B66" s="66"/>
      <c r="C66" s="66"/>
      <c r="D66" s="66"/>
      <c r="E66" s="66"/>
      <c r="F66" s="66"/>
      <c r="G66" s="66"/>
      <c r="H66" s="66"/>
      <c r="I66" s="66"/>
      <c r="J66" s="66"/>
      <c r="K66" s="66"/>
      <c r="L66" s="66"/>
      <c r="M66" s="66" t="s">
        <v>66</v>
      </c>
      <c r="N66" s="66"/>
      <c r="O66" s="66"/>
      <c r="P66" s="69"/>
      <c r="Q66" s="66"/>
      <c r="R66" s="66"/>
    </row>
    <row r="67" spans="1:35" s="67" customFormat="1" ht="15.75" x14ac:dyDescent="0.25">
      <c r="A67" s="186" t="s">
        <v>49</v>
      </c>
      <c r="B67" s="187"/>
      <c r="C67" s="187"/>
      <c r="D67" s="187"/>
      <c r="E67" s="187"/>
      <c r="F67" s="187"/>
      <c r="G67" s="187"/>
      <c r="H67" s="187"/>
      <c r="I67" s="187"/>
      <c r="J67" s="187"/>
      <c r="K67" s="187"/>
      <c r="L67" s="187"/>
      <c r="M67" s="187"/>
      <c r="N67" s="187"/>
      <c r="O67" s="187"/>
      <c r="P67" s="188"/>
      <c r="Q67" s="66"/>
      <c r="R67" s="66"/>
    </row>
    <row r="68" spans="1:35" s="67" customFormat="1" ht="15.75" x14ac:dyDescent="0.25">
      <c r="A68" s="103" t="s">
        <v>10</v>
      </c>
      <c r="B68" s="89" t="s">
        <v>50</v>
      </c>
      <c r="C68" s="90"/>
      <c r="D68" s="91"/>
      <c r="E68" s="91"/>
      <c r="F68" s="81">
        <f>+F21</f>
        <v>41983200</v>
      </c>
      <c r="G68" s="91"/>
      <c r="H68" s="81">
        <f>+H21</f>
        <v>65450000</v>
      </c>
      <c r="I68" s="91"/>
      <c r="J68" s="81">
        <f>+J21</f>
        <v>83678872</v>
      </c>
      <c r="K68" s="91"/>
      <c r="L68" s="81">
        <f>+L21</f>
        <v>55930000</v>
      </c>
      <c r="M68" s="91"/>
      <c r="N68" s="81">
        <f>+N21</f>
        <v>0</v>
      </c>
      <c r="O68" s="91"/>
      <c r="P68" s="81">
        <f>+P21</f>
        <v>60690000</v>
      </c>
      <c r="Q68" s="66"/>
      <c r="R68" s="66"/>
    </row>
    <row r="69" spans="1:35" s="67" customFormat="1" ht="15.75" x14ac:dyDescent="0.25">
      <c r="A69" s="103" t="s">
        <v>47</v>
      </c>
      <c r="B69" s="89" t="s">
        <v>51</v>
      </c>
      <c r="C69" s="90"/>
      <c r="D69" s="91"/>
      <c r="E69" s="91"/>
      <c r="F69" s="81">
        <f>+F65</f>
        <v>2958506242</v>
      </c>
      <c r="G69" s="91"/>
      <c r="H69" s="81">
        <f>+H65</f>
        <v>2728837009</v>
      </c>
      <c r="I69" s="91"/>
      <c r="J69" s="81">
        <f>+J65</f>
        <v>1561087541</v>
      </c>
      <c r="K69" s="91"/>
      <c r="L69" s="81">
        <f>+L65</f>
        <v>2679484796</v>
      </c>
      <c r="M69" s="91"/>
      <c r="N69" s="81">
        <f>+N65</f>
        <v>843339798</v>
      </c>
      <c r="O69" s="91"/>
      <c r="P69" s="81">
        <f>+P65</f>
        <v>1746377797</v>
      </c>
      <c r="Q69" s="66"/>
      <c r="R69" s="66"/>
    </row>
    <row r="70" spans="1:35" s="67" customFormat="1" ht="15.75" x14ac:dyDescent="0.25">
      <c r="A70" s="99" t="s">
        <v>52</v>
      </c>
      <c r="B70" s="100" t="s">
        <v>53</v>
      </c>
      <c r="C70" s="101"/>
      <c r="D70" s="102"/>
      <c r="E70" s="102"/>
      <c r="F70" s="82">
        <f>SUM(F68:F69)</f>
        <v>3000489442</v>
      </c>
      <c r="G70" s="102"/>
      <c r="H70" s="82">
        <f>SUM(H68:H69)</f>
        <v>2794287009</v>
      </c>
      <c r="I70" s="102"/>
      <c r="J70" s="82">
        <f>SUM(J68:J69)</f>
        <v>1644766413</v>
      </c>
      <c r="K70" s="102"/>
      <c r="L70" s="82">
        <f>SUM(L68:L69)</f>
        <v>2735414796</v>
      </c>
      <c r="M70" s="102"/>
      <c r="N70" s="82">
        <f>SUM(N68:N69)</f>
        <v>843339798</v>
      </c>
      <c r="O70" s="102"/>
      <c r="P70" s="82">
        <f>SUM(P68:P69)</f>
        <v>1807067797</v>
      </c>
      <c r="Q70" s="66"/>
      <c r="R70" s="66"/>
    </row>
    <row r="71" spans="1:35" s="67" customFormat="1" ht="15.75" x14ac:dyDescent="0.25">
      <c r="A71" s="68"/>
      <c r="B71" s="66"/>
      <c r="C71" s="66"/>
      <c r="D71" s="66"/>
      <c r="E71" s="66"/>
      <c r="F71" s="66"/>
      <c r="G71" s="66"/>
      <c r="H71" s="66"/>
      <c r="I71" s="66"/>
      <c r="J71" s="66"/>
      <c r="K71" s="66"/>
      <c r="L71" s="66"/>
      <c r="M71" s="66"/>
      <c r="N71" s="66"/>
      <c r="O71" s="66"/>
      <c r="P71" s="69"/>
      <c r="Q71" s="66"/>
      <c r="R71" s="66"/>
    </row>
    <row r="72" spans="1:35" s="109" customFormat="1" ht="16.5" thickBot="1" x14ac:dyDescent="0.3">
      <c r="A72" s="104"/>
      <c r="B72" s="105"/>
      <c r="C72" s="105"/>
      <c r="D72" s="105"/>
      <c r="E72" s="106"/>
      <c r="F72" s="106"/>
      <c r="G72" s="106"/>
      <c r="H72" s="106"/>
      <c r="I72" s="105"/>
      <c r="J72" s="105"/>
      <c r="K72" s="105"/>
      <c r="L72" s="105"/>
      <c r="M72" s="105"/>
      <c r="N72" s="105"/>
      <c r="O72" s="105"/>
      <c r="P72" s="107"/>
      <c r="Q72" s="108"/>
      <c r="R72" s="108"/>
      <c r="S72" s="67"/>
      <c r="T72" s="67"/>
      <c r="U72" s="1"/>
      <c r="V72" s="1"/>
      <c r="W72" s="1"/>
      <c r="X72" s="1"/>
      <c r="Y72" s="1"/>
      <c r="Z72" s="1"/>
      <c r="AA72" s="1"/>
      <c r="AB72" s="1"/>
      <c r="AC72" s="1"/>
      <c r="AD72" s="1"/>
      <c r="AE72" s="1"/>
      <c r="AF72" s="1"/>
      <c r="AG72" s="1"/>
      <c r="AH72" s="1"/>
      <c r="AI72" s="1"/>
    </row>
    <row r="73" spans="1:35" s="19" customFormat="1" ht="16.5" thickBot="1" x14ac:dyDescent="0.3">
      <c r="A73" s="180" t="s">
        <v>81</v>
      </c>
      <c r="B73" s="181"/>
      <c r="C73" s="181"/>
      <c r="D73" s="181"/>
      <c r="E73" s="181"/>
      <c r="F73" s="181"/>
      <c r="G73" s="181"/>
      <c r="H73" s="181"/>
      <c r="I73" s="181"/>
      <c r="J73" s="181"/>
      <c r="K73" s="181"/>
      <c r="L73" s="181"/>
      <c r="M73" s="181"/>
      <c r="N73" s="181"/>
      <c r="O73" s="181"/>
      <c r="P73" s="182"/>
      <c r="Q73" s="56"/>
      <c r="R73" s="56"/>
      <c r="S73"/>
      <c r="T73"/>
    </row>
    <row r="74" spans="1:35" s="19" customFormat="1" ht="15.75" x14ac:dyDescent="0.25">
      <c r="A74" s="172" t="s">
        <v>82</v>
      </c>
      <c r="B74" s="173"/>
      <c r="C74" s="176" t="s">
        <v>83</v>
      </c>
      <c r="D74" s="173"/>
      <c r="E74" s="178" t="s">
        <v>84</v>
      </c>
      <c r="F74" s="179"/>
      <c r="G74" s="20"/>
      <c r="H74" s="21"/>
      <c r="I74" s="21"/>
      <c r="J74" s="21"/>
      <c r="K74" s="21"/>
      <c r="L74" s="21"/>
      <c r="M74" s="21"/>
      <c r="N74" s="21"/>
      <c r="O74" s="21"/>
      <c r="P74" s="22"/>
      <c r="Q74" s="56"/>
      <c r="R74" s="56"/>
      <c r="S74"/>
      <c r="T74"/>
    </row>
    <row r="75" spans="1:35" s="19" customFormat="1" ht="15.75" x14ac:dyDescent="0.25">
      <c r="A75" s="174"/>
      <c r="B75" s="175"/>
      <c r="C75" s="177"/>
      <c r="D75" s="175"/>
      <c r="E75" s="23" t="s">
        <v>85</v>
      </c>
      <c r="F75" s="23" t="s">
        <v>86</v>
      </c>
      <c r="G75" s="24"/>
      <c r="H75" s="57" t="s">
        <v>66</v>
      </c>
      <c r="I75" s="57"/>
      <c r="J75" s="57"/>
      <c r="K75" s="57"/>
      <c r="L75" s="57"/>
      <c r="M75" s="57"/>
      <c r="N75" s="57"/>
      <c r="O75" s="57"/>
      <c r="P75" s="25"/>
      <c r="Q75" s="56"/>
      <c r="R75" s="56"/>
      <c r="S75"/>
      <c r="T75"/>
    </row>
    <row r="76" spans="1:35" s="19" customFormat="1" ht="15.75" x14ac:dyDescent="0.25">
      <c r="A76" s="164" t="s">
        <v>94</v>
      </c>
      <c r="B76" s="165"/>
      <c r="C76" s="166">
        <v>43964</v>
      </c>
      <c r="D76" s="167"/>
      <c r="E76" s="26" t="s">
        <v>87</v>
      </c>
      <c r="F76" s="27"/>
      <c r="G76" s="24"/>
      <c r="H76" s="57"/>
      <c r="I76" s="57"/>
      <c r="J76" s="57"/>
      <c r="K76" s="57"/>
      <c r="L76" s="57"/>
      <c r="M76" s="57"/>
      <c r="N76" s="57"/>
      <c r="O76" s="57"/>
      <c r="P76" s="25"/>
      <c r="Q76" s="56"/>
      <c r="R76" s="56"/>
      <c r="S76"/>
      <c r="T76"/>
    </row>
    <row r="77" spans="1:35" s="19" customFormat="1" ht="15.75" x14ac:dyDescent="0.25">
      <c r="A77" s="164" t="s">
        <v>95</v>
      </c>
      <c r="B77" s="165"/>
      <c r="C77" s="166">
        <v>43959</v>
      </c>
      <c r="D77" s="167"/>
      <c r="E77" s="28" t="s">
        <v>87</v>
      </c>
      <c r="F77" s="29"/>
      <c r="G77" s="24"/>
      <c r="H77" s="57"/>
      <c r="I77" s="57"/>
      <c r="J77" s="57"/>
      <c r="K77" s="57"/>
      <c r="L77" s="57"/>
      <c r="M77" s="57"/>
      <c r="N77" s="57"/>
      <c r="O77" s="57"/>
      <c r="P77" s="25"/>
      <c r="Q77" s="56"/>
      <c r="R77" s="56"/>
      <c r="S77"/>
      <c r="T77"/>
    </row>
    <row r="78" spans="1:35" s="19" customFormat="1" ht="15.75" x14ac:dyDescent="0.25">
      <c r="A78" s="164" t="s">
        <v>96</v>
      </c>
      <c r="B78" s="165"/>
      <c r="C78" s="166">
        <v>43962</v>
      </c>
      <c r="D78" s="167"/>
      <c r="E78" s="28" t="s">
        <v>87</v>
      </c>
      <c r="F78" s="29"/>
      <c r="G78" s="24"/>
      <c r="H78" s="57"/>
      <c r="I78" s="57"/>
      <c r="J78" s="57"/>
      <c r="K78" s="57"/>
      <c r="L78" s="57"/>
      <c r="M78" s="57"/>
      <c r="N78" s="57"/>
      <c r="O78" s="57"/>
      <c r="P78" s="25"/>
      <c r="Q78" s="56"/>
      <c r="R78" s="56"/>
      <c r="S78"/>
      <c r="T78"/>
    </row>
    <row r="79" spans="1:35" s="19" customFormat="1" ht="15.75" x14ac:dyDescent="0.25">
      <c r="A79" s="164" t="s">
        <v>97</v>
      </c>
      <c r="B79" s="165"/>
      <c r="C79" s="166">
        <v>43965</v>
      </c>
      <c r="D79" s="167"/>
      <c r="E79" s="28" t="s">
        <v>87</v>
      </c>
      <c r="F79" s="29"/>
      <c r="G79" s="24"/>
      <c r="H79" s="57"/>
      <c r="I79" s="57"/>
      <c r="J79" s="57"/>
      <c r="K79" s="57"/>
      <c r="L79" s="57"/>
      <c r="M79" s="57"/>
      <c r="N79" s="57"/>
      <c r="O79" s="57"/>
      <c r="P79" s="25"/>
      <c r="Q79" s="56"/>
      <c r="R79" s="56"/>
      <c r="S79"/>
      <c r="T79"/>
    </row>
    <row r="80" spans="1:35" s="19" customFormat="1" ht="16.5" thickBot="1" x14ac:dyDescent="0.3">
      <c r="A80" s="168" t="s">
        <v>98</v>
      </c>
      <c r="B80" s="169"/>
      <c r="C80" s="170">
        <v>43962</v>
      </c>
      <c r="D80" s="171"/>
      <c r="E80" s="30" t="s">
        <v>87</v>
      </c>
      <c r="F80" s="31"/>
      <c r="G80" s="32"/>
      <c r="H80" s="33"/>
      <c r="I80" s="33"/>
      <c r="J80" s="33"/>
      <c r="K80" s="33"/>
      <c r="L80" s="33"/>
      <c r="M80" s="33"/>
      <c r="N80" s="33"/>
      <c r="O80" s="33"/>
      <c r="P80" s="34"/>
      <c r="Q80" s="56"/>
      <c r="R80" s="56"/>
      <c r="S80"/>
      <c r="T80"/>
    </row>
    <row r="81" spans="1:27" s="39" customFormat="1" x14ac:dyDescent="0.25">
      <c r="A81" s="35"/>
      <c r="B81" s="36"/>
      <c r="C81" s="36"/>
      <c r="D81" s="36"/>
      <c r="E81" s="36"/>
      <c r="F81" s="36"/>
      <c r="G81" s="36"/>
      <c r="H81" s="37"/>
      <c r="I81" s="37"/>
      <c r="J81" s="37"/>
      <c r="K81" s="37"/>
      <c r="L81" s="37"/>
      <c r="M81" s="37"/>
      <c r="N81" s="37"/>
      <c r="O81" s="37"/>
      <c r="P81" s="38"/>
      <c r="Q81" s="56"/>
      <c r="R81" s="56"/>
      <c r="S81"/>
      <c r="T81"/>
      <c r="U81" s="19"/>
      <c r="V81" s="19"/>
      <c r="W81" s="19"/>
      <c r="X81" s="19"/>
      <c r="Y81" s="19"/>
      <c r="Z81" s="19"/>
      <c r="AA81" s="19"/>
    </row>
    <row r="82" spans="1:27" s="39" customFormat="1" ht="18" x14ac:dyDescent="0.25">
      <c r="A82" s="40"/>
      <c r="B82" s="58"/>
      <c r="C82" s="58"/>
      <c r="D82" s="58"/>
      <c r="E82" s="58"/>
      <c r="F82" s="58"/>
      <c r="G82" s="58"/>
      <c r="H82" s="59" t="s">
        <v>88</v>
      </c>
      <c r="I82" s="158" t="s">
        <v>89</v>
      </c>
      <c r="J82" s="158"/>
      <c r="K82" s="158"/>
      <c r="L82" s="158"/>
      <c r="M82" s="158"/>
      <c r="N82" s="158"/>
      <c r="O82" s="158"/>
      <c r="P82" s="159"/>
      <c r="Q82" s="56"/>
      <c r="R82" s="56"/>
      <c r="S82"/>
      <c r="T82"/>
      <c r="U82" s="19"/>
      <c r="V82" s="19"/>
      <c r="W82" s="19"/>
      <c r="X82" s="19"/>
      <c r="Y82" s="19"/>
      <c r="Z82" s="19"/>
      <c r="AA82" s="19"/>
    </row>
    <row r="83" spans="1:27" s="39" customFormat="1" ht="18" x14ac:dyDescent="0.25">
      <c r="A83" s="40"/>
      <c r="B83" s="58"/>
      <c r="C83" s="58"/>
      <c r="D83" s="58"/>
      <c r="E83" s="58"/>
      <c r="F83" s="58"/>
      <c r="G83" s="58"/>
      <c r="H83" s="59" t="s">
        <v>90</v>
      </c>
      <c r="I83" s="158" t="s">
        <v>99</v>
      </c>
      <c r="J83" s="158"/>
      <c r="K83" s="158"/>
      <c r="L83" s="158"/>
      <c r="M83" s="158"/>
      <c r="N83" s="158"/>
      <c r="O83" s="158"/>
      <c r="P83" s="159"/>
      <c r="Q83" s="56"/>
      <c r="R83" s="56"/>
      <c r="S83"/>
      <c r="T83"/>
      <c r="U83" s="19"/>
      <c r="V83" s="19"/>
      <c r="W83" s="19"/>
      <c r="X83" s="19"/>
      <c r="Y83" s="19"/>
      <c r="Z83" s="19"/>
      <c r="AA83" s="19"/>
    </row>
    <row r="84" spans="1:27" s="39" customFormat="1" ht="18" x14ac:dyDescent="0.25">
      <c r="A84" s="40"/>
      <c r="B84" s="58"/>
      <c r="C84" s="58"/>
      <c r="D84" s="58"/>
      <c r="E84" s="58"/>
      <c r="F84" s="58"/>
      <c r="G84" s="58"/>
      <c r="H84" s="59"/>
      <c r="I84" s="162" t="s">
        <v>100</v>
      </c>
      <c r="J84" s="162"/>
      <c r="K84" s="162"/>
      <c r="L84" s="162"/>
      <c r="M84" s="162"/>
      <c r="N84" s="162"/>
      <c r="O84" s="162"/>
      <c r="P84" s="163"/>
      <c r="Q84" s="56"/>
      <c r="R84" s="56"/>
      <c r="S84"/>
      <c r="T84"/>
      <c r="U84" s="19"/>
      <c r="V84" s="19"/>
      <c r="W84" s="19"/>
      <c r="X84" s="19"/>
      <c r="Y84" s="19"/>
      <c r="Z84" s="19"/>
      <c r="AA84" s="19"/>
    </row>
    <row r="85" spans="1:27" s="39" customFormat="1" ht="18" x14ac:dyDescent="0.25">
      <c r="A85" s="41"/>
      <c r="B85" s="60"/>
      <c r="C85" s="60"/>
      <c r="D85" s="60"/>
      <c r="E85" s="60"/>
      <c r="F85" s="60"/>
      <c r="G85" s="60"/>
      <c r="H85" s="61"/>
      <c r="I85" s="158" t="s">
        <v>91</v>
      </c>
      <c r="J85" s="158"/>
      <c r="K85" s="158"/>
      <c r="L85" s="158"/>
      <c r="M85" s="158"/>
      <c r="N85" s="158"/>
      <c r="O85" s="158"/>
      <c r="P85" s="159"/>
      <c r="Q85" s="56"/>
      <c r="R85" s="56"/>
      <c r="S85"/>
      <c r="T85"/>
      <c r="U85" s="19"/>
      <c r="V85" s="19"/>
      <c r="W85" s="19"/>
      <c r="X85" s="19"/>
      <c r="Y85" s="19"/>
      <c r="Z85" s="19"/>
      <c r="AA85" s="19"/>
    </row>
    <row r="86" spans="1:27" s="39" customFormat="1" ht="18" x14ac:dyDescent="0.25">
      <c r="A86" s="41"/>
      <c r="B86" s="60"/>
      <c r="C86" s="60"/>
      <c r="D86" s="60"/>
      <c r="E86" s="60"/>
      <c r="F86" s="60"/>
      <c r="G86" s="60"/>
      <c r="H86" s="59" t="s">
        <v>92</v>
      </c>
      <c r="I86" s="160" t="s">
        <v>107</v>
      </c>
      <c r="J86" s="160"/>
      <c r="K86" s="160"/>
      <c r="L86" s="160"/>
      <c r="M86" s="160"/>
      <c r="N86" s="160"/>
      <c r="O86" s="160"/>
      <c r="P86" s="161"/>
      <c r="Q86" s="56"/>
      <c r="R86" s="56"/>
      <c r="S86"/>
      <c r="T86"/>
      <c r="U86" s="19"/>
      <c r="V86" s="19"/>
      <c r="W86" s="19"/>
      <c r="X86" s="19"/>
      <c r="Y86" s="19"/>
      <c r="Z86" s="19"/>
      <c r="AA86" s="19"/>
    </row>
    <row r="87" spans="1:27" s="39" customFormat="1" ht="18" x14ac:dyDescent="0.25">
      <c r="A87" s="42"/>
      <c r="B87" s="62"/>
      <c r="C87" s="62"/>
      <c r="D87" s="62"/>
      <c r="E87" s="62"/>
      <c r="F87" s="62"/>
      <c r="G87" s="62"/>
      <c r="H87" s="61"/>
      <c r="I87" s="158" t="s">
        <v>93</v>
      </c>
      <c r="J87" s="158"/>
      <c r="K87" s="158"/>
      <c r="L87" s="158"/>
      <c r="M87" s="158"/>
      <c r="N87" s="158"/>
      <c r="O87" s="158"/>
      <c r="P87" s="159"/>
      <c r="Q87"/>
      <c r="R87"/>
      <c r="S87"/>
      <c r="T87"/>
      <c r="U87" s="19"/>
      <c r="V87" s="19"/>
      <c r="W87" s="19"/>
      <c r="X87" s="19"/>
      <c r="Y87" s="19"/>
      <c r="Z87" s="19"/>
      <c r="AA87" s="19"/>
    </row>
    <row r="88" spans="1:27" s="39" customFormat="1" ht="15.75" thickBot="1" x14ac:dyDescent="0.3">
      <c r="A88" s="43"/>
      <c r="B88" s="44"/>
      <c r="C88" s="44"/>
      <c r="D88" s="44"/>
      <c r="E88" s="44"/>
      <c r="F88" s="44"/>
      <c r="G88" s="44"/>
      <c r="H88" s="45"/>
      <c r="I88" s="45"/>
      <c r="J88" s="45"/>
      <c r="K88" s="45"/>
      <c r="L88" s="45"/>
      <c r="M88" s="45"/>
      <c r="N88" s="45"/>
      <c r="O88" s="45"/>
      <c r="P88" s="46"/>
      <c r="Q88"/>
      <c r="R88"/>
      <c r="S88"/>
      <c r="T88"/>
      <c r="U88" s="19"/>
      <c r="V88" s="19"/>
      <c r="W88" s="19"/>
      <c r="X88" s="19"/>
      <c r="Y88" s="19"/>
      <c r="Z88" s="19"/>
      <c r="AA88" s="19"/>
    </row>
  </sheetData>
  <mergeCells count="44">
    <mergeCell ref="A14:P14"/>
    <mergeCell ref="A23:P23"/>
    <mergeCell ref="E16:F16"/>
    <mergeCell ref="G16:H16"/>
    <mergeCell ref="I16:J16"/>
    <mergeCell ref="K16:L16"/>
    <mergeCell ref="M16:N16"/>
    <mergeCell ref="O16:P16"/>
    <mergeCell ref="L9:O11"/>
    <mergeCell ref="C11:H11"/>
    <mergeCell ref="C9:H9"/>
    <mergeCell ref="C7:O7"/>
    <mergeCell ref="N1:O1"/>
    <mergeCell ref="N2:O2"/>
    <mergeCell ref="N3:O3"/>
    <mergeCell ref="A1:M2"/>
    <mergeCell ref="A3:M3"/>
    <mergeCell ref="A73:P73"/>
    <mergeCell ref="G25:H25"/>
    <mergeCell ref="I25:J25"/>
    <mergeCell ref="K25:L25"/>
    <mergeCell ref="M25:N25"/>
    <mergeCell ref="O25:P25"/>
    <mergeCell ref="A67:P67"/>
    <mergeCell ref="E25:F25"/>
    <mergeCell ref="A74:B75"/>
    <mergeCell ref="C74:D75"/>
    <mergeCell ref="E74:F74"/>
    <mergeCell ref="A76:B76"/>
    <mergeCell ref="C76:D76"/>
    <mergeCell ref="A77:B77"/>
    <mergeCell ref="C77:D77"/>
    <mergeCell ref="A78:B78"/>
    <mergeCell ref="C78:D78"/>
    <mergeCell ref="A80:B80"/>
    <mergeCell ref="C80:D80"/>
    <mergeCell ref="A79:B79"/>
    <mergeCell ref="C79:D79"/>
    <mergeCell ref="I82:P82"/>
    <mergeCell ref="I83:P83"/>
    <mergeCell ref="I85:P85"/>
    <mergeCell ref="I86:P86"/>
    <mergeCell ref="I87:P87"/>
    <mergeCell ref="I84:P84"/>
  </mergeCells>
  <phoneticPr fontId="9" type="noConversion"/>
  <conditionalFormatting sqref="E18">
    <cfRule type="cellIs" dxfId="30" priority="27" operator="greaterThan">
      <formula>$U18</formula>
    </cfRule>
    <cfRule type="cellIs" dxfId="29" priority="28" operator="lessThan">
      <formula>$T18</formula>
    </cfRule>
  </conditionalFormatting>
  <conditionalFormatting sqref="G18">
    <cfRule type="cellIs" dxfId="28" priority="25" operator="greaterThan">
      <formula>$U18</formula>
    </cfRule>
    <cfRule type="cellIs" dxfId="27" priority="26" operator="lessThan">
      <formula>$T18</formula>
    </cfRule>
  </conditionalFormatting>
  <conditionalFormatting sqref="I18">
    <cfRule type="cellIs" dxfId="26" priority="23" operator="greaterThan">
      <formula>$U18</formula>
    </cfRule>
    <cfRule type="cellIs" dxfId="25" priority="24" operator="lessThan">
      <formula>$T18</formula>
    </cfRule>
  </conditionalFormatting>
  <conditionalFormatting sqref="K18">
    <cfRule type="cellIs" dxfId="24" priority="21" operator="greaterThan">
      <formula>$U18</formula>
    </cfRule>
    <cfRule type="cellIs" dxfId="23" priority="22" operator="lessThan">
      <formula>$T18</formula>
    </cfRule>
  </conditionalFormatting>
  <conditionalFormatting sqref="E27:E53">
    <cfRule type="cellIs" dxfId="22" priority="19" operator="greaterThan">
      <formula>$U27</formula>
    </cfRule>
    <cfRule type="cellIs" dxfId="21" priority="20" operator="lessThan">
      <formula>$T27</formula>
    </cfRule>
  </conditionalFormatting>
  <conditionalFormatting sqref="G27:G53">
    <cfRule type="cellIs" dxfId="20" priority="17" operator="greaterThan">
      <formula>$U27</formula>
    </cfRule>
    <cfRule type="cellIs" dxfId="19" priority="18" operator="lessThan">
      <formula>$T27</formula>
    </cfRule>
  </conditionalFormatting>
  <conditionalFormatting sqref="I27:I53">
    <cfRule type="cellIs" dxfId="18" priority="15" operator="greaterThan">
      <formula>$U27</formula>
    </cfRule>
    <cfRule type="cellIs" dxfId="17" priority="16" operator="lessThan">
      <formula>$T27</formula>
    </cfRule>
  </conditionalFormatting>
  <conditionalFormatting sqref="K27:K53">
    <cfRule type="cellIs" dxfId="16" priority="13" operator="greaterThan">
      <formula>$U27</formula>
    </cfRule>
    <cfRule type="cellIs" dxfId="15" priority="14" operator="lessThan">
      <formula>$T27</formula>
    </cfRule>
  </conditionalFormatting>
  <conditionalFormatting sqref="M27:M53">
    <cfRule type="cellIs" dxfId="14" priority="11" operator="greaterThan">
      <formula>$U27</formula>
    </cfRule>
    <cfRule type="cellIs" dxfId="13" priority="12" operator="lessThan">
      <formula>$T27</formula>
    </cfRule>
  </conditionalFormatting>
  <conditionalFormatting sqref="E59:E61">
    <cfRule type="cellIs" dxfId="12" priority="9" operator="greaterThan">
      <formula>$U59</formula>
    </cfRule>
    <cfRule type="cellIs" dxfId="11" priority="10" operator="lessThan">
      <formula>$T59</formula>
    </cfRule>
  </conditionalFormatting>
  <conditionalFormatting sqref="G59:G61">
    <cfRule type="cellIs" dxfId="10" priority="7" operator="greaterThan">
      <formula>$U59</formula>
    </cfRule>
    <cfRule type="cellIs" dxfId="9" priority="8" operator="lessThan">
      <formula>$T59</formula>
    </cfRule>
  </conditionalFormatting>
  <conditionalFormatting sqref="I59:I61">
    <cfRule type="cellIs" dxfId="8" priority="5" operator="greaterThan">
      <formula>$U59</formula>
    </cfRule>
    <cfRule type="cellIs" dxfId="7" priority="6" operator="lessThan">
      <formula>$T59</formula>
    </cfRule>
  </conditionalFormatting>
  <conditionalFormatting sqref="K59:K61">
    <cfRule type="cellIs" dxfId="6" priority="3" operator="greaterThan">
      <formula>$U59</formula>
    </cfRule>
    <cfRule type="cellIs" dxfId="5" priority="4" operator="lessThan">
      <formula>$T59</formula>
    </cfRule>
  </conditionalFormatting>
  <conditionalFormatting sqref="M59:M61">
    <cfRule type="cellIs" dxfId="4" priority="1" operator="greaterThan">
      <formula>$U59</formula>
    </cfRule>
    <cfRule type="cellIs" dxfId="3" priority="2" operator="lessThan">
      <formula>$T59</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abSelected="1" zoomScale="85" zoomScaleNormal="85" workbookViewId="0">
      <selection activeCell="A4" sqref="A4:G4"/>
    </sheetView>
  </sheetViews>
  <sheetFormatPr baseColWidth="10" defaultColWidth="10.85546875" defaultRowHeight="15" x14ac:dyDescent="0.25"/>
  <cols>
    <col min="1" max="1" width="10.85546875" style="140"/>
    <col min="2" max="2" width="90.42578125" style="140" bestFit="1" customWidth="1"/>
    <col min="3" max="3" width="17.140625" style="140" bestFit="1" customWidth="1"/>
    <col min="4" max="6" width="17.140625" style="140" customWidth="1"/>
    <col min="7" max="7" width="17.28515625" style="140" customWidth="1"/>
    <col min="8" max="8" width="21.5703125" style="140" customWidth="1"/>
    <col min="9" max="9" width="10.85546875" style="140"/>
    <col min="10" max="10" width="11" style="140" bestFit="1" customWidth="1"/>
    <col min="11" max="11" width="13.85546875" style="140" bestFit="1" customWidth="1"/>
    <col min="12" max="16384" width="10.85546875" style="140"/>
  </cols>
  <sheetData>
    <row r="1" spans="1:8" s="138" customFormat="1" ht="27" customHeight="1" x14ac:dyDescent="0.25">
      <c r="A1" s="218" t="s">
        <v>125</v>
      </c>
      <c r="B1" s="218"/>
      <c r="C1" s="218"/>
      <c r="D1" s="218"/>
      <c r="E1" s="218"/>
      <c r="F1" s="218"/>
      <c r="G1" s="218"/>
    </row>
    <row r="2" spans="1:8" s="138" customFormat="1" ht="27" customHeight="1" x14ac:dyDescent="0.25">
      <c r="A2" s="218"/>
      <c r="B2" s="218"/>
      <c r="C2" s="218"/>
      <c r="D2" s="218"/>
      <c r="E2" s="218"/>
      <c r="F2" s="218"/>
      <c r="G2" s="218"/>
    </row>
    <row r="3" spans="1:8" s="138" customFormat="1" ht="15.75" x14ac:dyDescent="0.25">
      <c r="A3" s="219"/>
      <c r="B3" s="219"/>
      <c r="C3" s="219"/>
      <c r="D3" s="219"/>
      <c r="E3" s="219"/>
      <c r="F3" s="219"/>
      <c r="G3" s="219"/>
    </row>
    <row r="4" spans="1:8" s="138" customFormat="1" ht="41.45" customHeight="1" x14ac:dyDescent="0.25">
      <c r="A4" s="220" t="s">
        <v>118</v>
      </c>
      <c r="B4" s="220"/>
      <c r="C4" s="220"/>
      <c r="D4" s="220"/>
      <c r="E4" s="220"/>
      <c r="F4" s="220"/>
      <c r="G4" s="220"/>
    </row>
    <row r="5" spans="1:8" ht="15.75" x14ac:dyDescent="0.25">
      <c r="A5" s="139"/>
      <c r="B5" s="139"/>
      <c r="C5" s="139"/>
      <c r="D5" s="139"/>
      <c r="E5" s="139"/>
      <c r="F5" s="139"/>
      <c r="G5" s="139"/>
    </row>
    <row r="6" spans="1:8" s="142" customFormat="1" ht="47.25" x14ac:dyDescent="0.25">
      <c r="A6" s="150" t="s">
        <v>0</v>
      </c>
      <c r="B6" s="150" t="s">
        <v>1</v>
      </c>
      <c r="C6" s="150" t="s">
        <v>114</v>
      </c>
      <c r="D6" s="150" t="s">
        <v>115</v>
      </c>
      <c r="E6" s="150" t="s">
        <v>120</v>
      </c>
      <c r="F6" s="150" t="s">
        <v>116</v>
      </c>
      <c r="G6" s="150" t="s">
        <v>117</v>
      </c>
      <c r="H6" s="141"/>
    </row>
    <row r="7" spans="1:8" s="142" customFormat="1" ht="120.6" customHeight="1" x14ac:dyDescent="0.25">
      <c r="A7" s="143">
        <v>1</v>
      </c>
      <c r="B7" s="157" t="s">
        <v>119</v>
      </c>
      <c r="C7" s="152">
        <v>9800</v>
      </c>
      <c r="D7" s="149"/>
      <c r="E7" s="149">
        <f>+ROUND(D7*19%,0)</f>
        <v>0</v>
      </c>
      <c r="F7" s="144">
        <f>+ROUND(D7,0)+E7</f>
        <v>0</v>
      </c>
      <c r="G7" s="145">
        <f>+F7*C7</f>
        <v>0</v>
      </c>
      <c r="H7" s="141"/>
    </row>
    <row r="8" spans="1:8" s="142" customFormat="1" ht="27.6" customHeight="1" x14ac:dyDescent="0.25">
      <c r="A8" s="150"/>
      <c r="B8" s="216" t="s">
        <v>113</v>
      </c>
      <c r="C8" s="216"/>
      <c r="D8" s="146"/>
      <c r="E8" s="146"/>
      <c r="F8" s="146"/>
      <c r="G8" s="147">
        <f>+G7</f>
        <v>0</v>
      </c>
      <c r="H8" s="141"/>
    </row>
    <row r="9" spans="1:8" s="142" customFormat="1" ht="15.75" x14ac:dyDescent="0.25">
      <c r="A9" s="222"/>
      <c r="B9" s="223"/>
      <c r="C9" s="223"/>
      <c r="D9" s="223"/>
      <c r="E9" s="223"/>
      <c r="F9" s="223"/>
      <c r="G9" s="224"/>
      <c r="H9" s="141"/>
    </row>
    <row r="10" spans="1:8" x14ac:dyDescent="0.25">
      <c r="H10" s="151"/>
    </row>
    <row r="11" spans="1:8" x14ac:dyDescent="0.25">
      <c r="A11" s="148" t="s">
        <v>108</v>
      </c>
    </row>
    <row r="12" spans="1:8" ht="36.950000000000003" customHeight="1" x14ac:dyDescent="0.25">
      <c r="A12" s="225" t="s">
        <v>121</v>
      </c>
      <c r="B12" s="225"/>
      <c r="C12" s="225"/>
      <c r="D12" s="225"/>
      <c r="E12" s="225"/>
      <c r="F12" s="225"/>
      <c r="G12" s="225"/>
    </row>
    <row r="13" spans="1:8" ht="38.1" customHeight="1" x14ac:dyDescent="0.25">
      <c r="A13" s="217" t="s">
        <v>122</v>
      </c>
      <c r="B13" s="217"/>
      <c r="C13" s="217"/>
      <c r="D13" s="217"/>
      <c r="E13" s="217"/>
      <c r="F13" s="217"/>
      <c r="G13" s="217"/>
    </row>
    <row r="14" spans="1:8" ht="27.6" customHeight="1" x14ac:dyDescent="0.25">
      <c r="A14" s="217" t="s">
        <v>124</v>
      </c>
      <c r="B14" s="217"/>
      <c r="C14" s="217"/>
      <c r="D14" s="217"/>
      <c r="E14" s="217"/>
      <c r="F14" s="217"/>
      <c r="G14" s="217"/>
    </row>
    <row r="15" spans="1:8" ht="15.75" x14ac:dyDescent="0.25">
      <c r="A15" s="153"/>
      <c r="B15" s="153" t="s">
        <v>66</v>
      </c>
      <c r="C15" s="153"/>
      <c r="D15" s="153"/>
      <c r="E15" s="153"/>
      <c r="F15" s="153"/>
      <c r="G15" s="153"/>
    </row>
    <row r="16" spans="1:8" ht="28.5" customHeight="1" x14ac:dyDescent="0.25">
      <c r="A16" s="221" t="s">
        <v>123</v>
      </c>
      <c r="B16" s="221"/>
      <c r="C16" s="221"/>
      <c r="D16" s="221"/>
      <c r="E16" s="221"/>
      <c r="F16" s="221"/>
      <c r="G16" s="221"/>
    </row>
    <row r="17" spans="1:7" ht="15.75" x14ac:dyDescent="0.25">
      <c r="A17" s="154"/>
      <c r="B17" s="155"/>
      <c r="C17" s="156"/>
      <c r="D17" s="156"/>
      <c r="E17" s="156"/>
      <c r="F17" s="156"/>
      <c r="G17" s="156"/>
    </row>
    <row r="18" spans="1:7" ht="21.6" customHeight="1" x14ac:dyDescent="0.25">
      <c r="A18" s="226" t="s">
        <v>109</v>
      </c>
      <c r="B18" s="227"/>
      <c r="C18" s="226"/>
      <c r="D18" s="228"/>
      <c r="E18" s="228"/>
      <c r="F18" s="228"/>
      <c r="G18" s="227"/>
    </row>
    <row r="19" spans="1:7" ht="21.6" customHeight="1" x14ac:dyDescent="0.25">
      <c r="A19" s="226" t="s">
        <v>110</v>
      </c>
      <c r="B19" s="227"/>
      <c r="C19" s="226"/>
      <c r="D19" s="228"/>
      <c r="E19" s="228"/>
      <c r="F19" s="228"/>
      <c r="G19" s="227"/>
    </row>
    <row r="20" spans="1:7" ht="21.6" customHeight="1" x14ac:dyDescent="0.25">
      <c r="A20" s="226" t="s">
        <v>111</v>
      </c>
      <c r="B20" s="227"/>
      <c r="C20" s="226"/>
      <c r="D20" s="228"/>
      <c r="E20" s="228"/>
      <c r="F20" s="228"/>
      <c r="G20" s="227"/>
    </row>
    <row r="21" spans="1:7" ht="21.6" customHeight="1" x14ac:dyDescent="0.25">
      <c r="A21" s="226" t="s">
        <v>112</v>
      </c>
      <c r="B21" s="227"/>
      <c r="C21" s="226"/>
      <c r="D21" s="228"/>
      <c r="E21" s="228"/>
      <c r="F21" s="228"/>
      <c r="G21" s="227"/>
    </row>
  </sheetData>
  <sheetProtection algorithmName="SHA-512" hashValue="Ol0YfQKYUlgjrSfk9qu6sNCSDpvhgD4SvdGI8tn3nf60WW1V5Re3sQB/I5onr3kX0baJYb/dTq9JDqFYa0HDEg==" saltValue="Ve0qhvCe2K9CvnZFMAB13A==" spinCount="100000" sheet="1" objects="1" scenarios="1"/>
  <mergeCells count="18">
    <mergeCell ref="A19:B19"/>
    <mergeCell ref="A20:B20"/>
    <mergeCell ref="A21:B21"/>
    <mergeCell ref="C18:G18"/>
    <mergeCell ref="C19:G19"/>
    <mergeCell ref="C20:G20"/>
    <mergeCell ref="C21:G21"/>
    <mergeCell ref="A16:G16"/>
    <mergeCell ref="A14:G14"/>
    <mergeCell ref="A9:G9"/>
    <mergeCell ref="A12:G12"/>
    <mergeCell ref="A18:B18"/>
    <mergeCell ref="B8:C8"/>
    <mergeCell ref="A13:G13"/>
    <mergeCell ref="A1:G1"/>
    <mergeCell ref="A2:G2"/>
    <mergeCell ref="A3:G3"/>
    <mergeCell ref="A4:G4"/>
  </mergeCells>
  <conditionalFormatting sqref="D7 C18:G21">
    <cfRule type="cellIs" dxfId="2" priority="4" operator="equal">
      <formula>0</formula>
    </cfRule>
  </conditionalFormatting>
  <conditionalFormatting sqref="G7">
    <cfRule type="cellIs" dxfId="1" priority="2" operator="greaterThan">
      <formula>87661000</formula>
    </cfRule>
  </conditionalFormatting>
  <conditionalFormatting sqref="E7">
    <cfRule type="cellIs" dxfId="0" priority="1" operator="equal">
      <formula>0</formula>
    </cfRule>
  </conditionalFormatting>
  <dataValidations count="1">
    <dataValidation type="whole" allowBlank="1" showInputMessage="1" showErrorMessage="1" error="Ingrese únicamente valores enteros (sin decimales). Verifique que el valor ingresado sea inferior al valor unitario techo respectivo." sqref="D7:F7">
      <formula1>0</formula1>
      <formula2>10000000000000000000</formula2>
    </dataValidation>
  </dataValidations>
  <printOptions horizontalCentered="1"/>
  <pageMargins left="0.23622047244094491" right="0.23622047244094491" top="0.35433070866141736" bottom="0.35433070866141736" header="0.31496062992125984" footer="0.31496062992125984"/>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Propuesta Económica</vt:lpstr>
      <vt:lpstr>'Propuesta Económica'!Área_de_impresión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Geovanni Alfonso Bermúdez Segura</dc:creator>
  <cp:lastModifiedBy>Valentina</cp:lastModifiedBy>
  <cp:lastPrinted>2020-08-14T16:12:52Z</cp:lastPrinted>
  <dcterms:created xsi:type="dcterms:W3CDTF">2020-05-07T16:46:14Z</dcterms:created>
  <dcterms:modified xsi:type="dcterms:W3CDTF">2020-08-15T00:03:09Z</dcterms:modified>
</cp:coreProperties>
</file>